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defaultThemeVersion="124226"/>
  <mc:AlternateContent xmlns:mc="http://schemas.openxmlformats.org/markup-compatibility/2006">
    <mc:Choice Requires="x15">
      <x15ac:absPath xmlns:x15ac="http://schemas.microsoft.com/office/spreadsheetml/2010/11/ac" url="/Users/camilatorres/Desktop/"/>
    </mc:Choice>
  </mc:AlternateContent>
  <xr:revisionPtr revIDLastSave="0" documentId="13_ncr:1_{574F85F3-96E9-E244-8817-9D307A4646DB}" xr6:coauthVersionLast="47" xr6:coauthVersionMax="47" xr10:uidLastSave="{00000000-0000-0000-0000-000000000000}"/>
  <bookViews>
    <workbookView xWindow="0" yWindow="620" windowWidth="28800" windowHeight="161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<sst xmlns="http://schemas.openxmlformats.org/spreadsheetml/2006/main" count="514" uniqueCount="244">
  <si>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</si>
  <si>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</si>
  <si>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</si>
  <si>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</si>
  <si>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</si>
  <si>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</si>
  <si>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</si>
  <si>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</si>
  <si>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</si>
  <si>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</si>
  <si>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</si>
  <si>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</si>
  <si>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</si>
  <si>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</si>
  <si>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</si>
  <si>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</si>
  <si>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</si>
  <si>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</si>
  <si>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</si>
  <si>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</si>
  <si>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</si>
  <si>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</si>
  <si>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</si>
  <si>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</si>
  <si>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</si>
  <si>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</si>
  <si>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</si>
  <si>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</si>
  <si>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</si>
  <si>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</si>
  <si>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</si>
  <si>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</si>
  <si>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</si>
  <si>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</si>
  <si>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</si>
  <si>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</si>
  <si>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</si>
  <si>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</si>
  <si>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</si>
  <si>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</si>
  <si>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</si>
  <si>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</si>
  <si>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</si>
  <si>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</si>
  <si>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</si>
  <si>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</si>
  <si>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</si>
  <si>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</si>
  <si>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</si>
  <si>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</si>
  <si>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</si>
  <si>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</si>
  <si>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</si>
  <si>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</si>
  <si>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</si>
  <si>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</si>
  <si>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</si>
  <si>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</si>
  <si>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</si>
  <si>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</si>
  <si>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</si>
  <si>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</si>
  <si>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</si>
  <si>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</si>
  <si>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</si>
  <si>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</si>
  <si>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</si>
  <si>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</si>
  <si>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</si>
  <si>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</si>
  <si>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</si>
  <si>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</si>
  <si>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</si>
  <si>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</si>
  <si>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</si>
  <si>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</si>
  <si>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</si>
  <si>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</si>
  <si>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</si>
  <si>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</si>
  <si>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</si>
  <si>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</si>
  <si>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</si>
  <si>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</si>
  <si>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</si>
  <si>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</si>
  <si>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</si>
  <si>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</si>
  <si>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</si>
  <si>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</si>
  <si>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</si>
  <si>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</si>
  <si>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</si>
  <si>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</si>
  <si>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</si>
  <si>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</si>
  <si>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</si>
  <si>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</si>
  <si>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</si>
  <si>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</si>
  <si>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</si>
  <si>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</si>
  <si>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</si>
  <si>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</si>
  <si>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</si>
  <si>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</si>
  <si>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</si>
  <si>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</si>
  <si>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</si>
  <si>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</si>
  <si>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</si>
  <si>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</si>
  <si>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</si>
  <si>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</si>
  <si>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</si>
  <si>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</si>
  <si>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</si>
  <si>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</si>
  <si>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</si>
  <si>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</si>
  <si>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</si>
  <si>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</si>
  <si>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</si>
  <si>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</si>
  <si>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</si>
  <si>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</si>
  <si>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</si>
  <si>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</si>
  <si>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</si>
  <si>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</si>
  <si>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</si>
  <si>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</si>
  <si>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</si>
  <si>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</si>
  <si>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</si>
  <si>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</si>
  <si>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</si>
  <si>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</si>
  <si>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</si>
  <si>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</si>
  <si>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</si>
  <si>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</si>
  <si>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</si>
  <si>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</si>
  <si>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</si>
  <si>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</si>
  <si>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</si>
  <si>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</si>
  <si>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</si>
  <si>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</si>
  <si>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</si>
  <si>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</si>
  <si>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</si>
  <si>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</si>
  <si>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</si>
  <si>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</si>
  <si>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</si>
  <si>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</si>
  <si>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</si>
  <si>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</si>
  <si>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</si>
  <si>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</si>
  <si>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</si>
  <si>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</si>
  <si>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</si>
  <si>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</si>
  <si>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</si>
  <si>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</si>
  <si>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</si>
  <si>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</si>
  <si>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</si>
  <si>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</si>
  <si>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</si>
  <si>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</si>
  <si>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</si>
  <si>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</si>
  <si>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</si>
  <si>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</si>
  <si>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</si>
  <si>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</si>
  <si>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</si>
  <si>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</si>
  <si>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</si>
  <si>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</si>
  <si>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</si>
  <si>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</si>
  <si>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</si>
  <si>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</si>
  <si>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</si>
  <si>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</si>
  <si>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FORTALEZAS De acuerdo con las Líneas de Defensa de la entidad se han definido criterios para el seguimiento y evaluación, reporte de información, periodicidad y responsables sobre diferentes aspectos y temáticas teniendo en cuenta su nivel de criticidad. La entidad realizó el proceso de aprobación del Plan de Desarrollo Municipal el cual representa la carta de navegación durante este cuatrenio, se aprobó mediante Decreto 070 de 18 de Junio de 2024, de igual manera se  aprobaron los Planes Institucionales bajo Res. 026 de 2024 que se encentran publicados en la página web bajo el link https://www.nobsa-boyaca.gov.co/normatividad/resolucion-n-026-de- 2024. 
DEBILIDADES: El Control Disciplinario Interno es un mecanismo muy importante para analizar y dar tratamiento a situaciones y conductas que se presentan o en cuanto a posibles incumplimientos del Código de Integridad, pero este se encuentra en fase de actualización. A la fecha la entidad NO REALIZO ACCIONES RESPECTO de habilitar la OFICINA DE CONTROL INTERNO DISCIPLINARIO, El Control Disciplinario es un mecanismo muy importante para analizar y dar tratamiento a situaciones y conductas que se presentan o en cuanto a posibles incumplimientos del Código de Integridad, al finalizar la vigencia 2023 la entidad realizó modificaciones al Manual de Funciones, pero no se realizó cambio al respecto la función sigue asignada a la Secretaria de Gobierno y Convivencia Ciudadana situación que continuó en la Vigencia 2024.</t>
  </si>
  <si>
    <t>FORTALEZAS: En el mes de enero de 2024 La entidad elaboró el MAPA DE RIESGOS DE CORRUPCIÓN; Por parte de la oficina de Planeación se lidero el proceso y se realizó jornada de capacitación a los funcionarios de la entidad en la temática de RIESGOS DE CORRUPCIÓN, para que cada área actualice los concerniente La entidad tiene establecido el Comité de desempeño y  gestión institucional, el cual está operando al igual que el COMITÉ INSTITUCIONAL DE COORDINACIÓN DE CONTROL INTERNO, Los MAPAS DE RIESGO no han sido monitoreados de manera permanente sin embargo cada dependencia trabaja en su mejoramiento. 
DEBILIDADES: Hace falta hacer enfasis más en la apropiación del principio del Autocontrol, cada dueño y líder de proceso junto con su equipo de trabajo deben fomentar este principio de manera continua en el desarrollo de sus labores diarias para contribuir en la gestión de la organización.</t>
  </si>
  <si>
    <t xml:space="preserve">FORTALEZAS: Se procedió al diligenciamiento del INFORME FURAG correspondiente a la vigencia 2023 en el aplicativo de Función Pública. Secretaria de Planeación y Desempeño Institucional construyo la POLÍTICA INSTITUCIONAL DE ADMINISTRACIÓN DEL RIESGO lo cual permite un mejor monitoreo de los riesgos. Por parte de la Oficina de Control interno como tercera línea de defensa se realizó el ejercicio de evaluación independiente a través de las Auditorías internas las cuales son desarrolladas bajo el enfoque del riesgo. La entidad reconoce el Modelo Integrado de Planeación y gestión MIPG como un modelo de gestión de calidad, la implemacion de modelo en la entidad ha realizado un avance importante en el manejo  y desarrollo de los Comites Institucionales,  actualizacion de Manuales de Procesos y  Procedimientos, manejo de Riesgos. 
DEBILIDADES: En algunas ocasiones se requiere mayor apoyo por parte de los líderes de proceso para evitar la posibilidad de materialización de un riesgo. La disposicion de los funcionarios para ser capacitados en tema de Riesgos debe ser una actividad priorizada  para la vigencia 2025.
</t>
  </si>
  <si>
    <t>FORTALEZAS: La entidad tiene claramente establecidos los canales de comunicación tanto internos como externos. La comunicación externa se viene desarrollando a través de diversos mecanismos bajo la utilización de medios virtuales como chat, facebook, redes sociales, página web institucional, correos institucionales. Para el segundo semestre de 2024 se dió inicio a la aplicación del PLAN DE DESARROLLO “NOBSA A OTRO NIVEL”.  La comunicación con la comunidad se dio directamente en territorio en los diferentes barrios y veredas del Municipio a través de mesas de trabajo para priorizar necesidades. Se realizó el proceso de RENDICIÓN PÚBLICA DE CUENTAS en el mes de diciembre de manera virtual, se encuentra pendiente el proceso de evaluación y seguimiento para verificar la aceptación de la comunidad sobre el ejercicio de Rendición de Cuentas- Audiencia Pública Virtual. El proceso de Gestión Documental para la vigencia 2024 se encuentra con Plan de Mejoramiento con envió de soportes de cumplimiento de manera trimestral al Archivo General de la Nación. 
DEBILIDADES: La entidad tiene establecido a través de la página de la alcaldía https://www.nobsa-boyaca.gov.co/ herramientas para la denuncia anónima, sin embargo continua la falencia en la existencia de control del proceso para el correcto análisis de las PQRSD que radican y sus diferentes instancias para poder tratar las situaciones irregulares que se puedan presentar a la hora de dar respuesta o remitirlos al doliente responsable. Es importante continuar trabajando en el mejoramiento del proceso con la creaciónde ventanilla.  Cabe mencionar que a la fecha no se ha realizado transferencias documentales por falta de un espacio apropiado que cumpla con la normatividad vigente para reservar y resguardar los archivos de la entidad.</t>
  </si>
  <si>
    <t>FORTALEZAS: Operatividad del COMITE INSTITUCIONAL DE COORDINACIÓN DE CONTROL INTERNO, se aprobó el Plan Anual de Auditorias para la vigencia 2024. La Oficina de control Interno elabora y cumple con la presentación de los informes de ley requeridos sobre el Sistema  de control interno, sin embargo, se informa que la Oficina estuvo sin titular situación que genero atrasos de los mismos según el núcleo de conocimiento donde se analiza sus fortalezas y debilidades y presenta las recomendaciones pertinentes. Se enfatizó en la comprensión de las líneas de defensa en la entidad y la importancia de la participación de todos los miembros de la entidad. Se dió cumplimiento al cronograma de auditorías realizadas por entes externos que han generado planes de mejoramiento debido a la misma situación mencionada anteriormente, por parte de la oficina de control interno debe realizarse el seguimiento pertinente a estos planes para que las acciones pactadas se cumplan por parte de los responsables de lass acciones que aunse ecneuntra vigentes. La Oficina de control Interno elaboró y presentó los informes requeridos sobre el Sistema de control interno, analiza sus fortalezas y debilidades y presenta las recomendaciones pertinentes. Se enfatizó en la comprensión de las líneas de defensa en la entidad y la importancia de la participación de todos los miembros de la entidad.
DEBILIDADES: Se debe continuar trabajando  en la comprensión del Sistema de Control Interno como un aspecto que involucra a TODOS LOS MIEMBROS DE LA ALCALDIA , que no corresponde o es responsabiliad solo de la Oficina de ControlInterno, ya que el control interno se construye y aplica entre todos. Se identificó falta de apropiacion por falta de los servidores publicos en cuanto a la dinamica de Codigo de Integridad,  se recomendó al lider responsable realizar actividadesmas cercanas a los funcionarios que les permita concientizr sobre el  uso correcto e importante del mismo.</t>
  </si>
  <si>
    <t>En conjunto, Por parte de la Oficina de Control Interno de Gestión se ha trabajado de manera constante en que se dinamice la importancia de los principios del Autocontrol y Autoevaluación por parte de todos los funcionarios de la Entidad, y primordialmente en que se comprenda que EL SISTEMA DE CONTROL INTERNO lo integran TODOS los procesos y quienes interviene en ello. Que la responsabilidad del mismo no es única y exclusivamente de la oficina de control interno, que existen unas líneas de defensa que deben actuar de forma permanente y generar las alertas necesarias, que el primer control lo ejerce quien ejecuta el proceso y procedimiento, en su puesto de trabajo. A veces se percibe la falta de apoyo sobre todo cuando ocurren situaciones que requieren de acciones inmediatas y no se cuenta con un CONTROL DISCIPLINARIO ADECUADO.</t>
  </si>
  <si>
    <t>El  Sistema de Control  de Interno   se encuentra normalizado  mediante Acto Administrativo  Decreto N° 033 de 17 de marzo de 2022,  de igual manera se encuentra en una fase de actualización el manual de procesos y procedimientos junto con sus indicadores, de esta manera facilita la opración de los sistemas integrados como lo son CALIDAD.MIPG Y MECI. Esta ofivina tiene conocimiento de la realización de consejos de Gobierno que son períodicos que permiten la revisión de la alta dirección en la toma de decisiones. La oficina de Control Interno de Gestión viene realizando la revisión correspondiente a planes de mejoramiento suscritos de vigencias anteriores para subsanar hallazgos; se encuentra pendiente mesas de trabajo para obtener soportes y evidencias que ameriten el levantamiento de los hallazgos.La mayor debilidad se enfoca en la sencibilización a los colaboradores de las sectoriales sobre temas en relacionados con la administración del riesgo, sistema de control interno, evaluación de riesgos probables y residuales que permitan gestionar una cultura de autocontrol y autogestión de todos los procesos y procedimientos.</t>
  </si>
  <si>
    <t>Esta oficina ha evidenciado que en la entidad opera las tres líneas de defensa que cuenta con lideres de procesos programas y proyectos (Es en general a todos los servidores públlicos y en todos los niveles de la organización); las tres líneas de defensa han contribuido a organizar los roles de las iguiente maneras: Secretaria de Planeación y Desempeño Institucional, revisión por la Alta Dirección (Consejos de Gobierno), se cuenta con profesionales encargados de la actualización de los procesos y procedimientos situación que ha permitido que cada área realice la respectiva revisión y aprobación. (A la fecha se han realizado 4 comites de gestión y desempeño), la entidad cuenta con 17 políticas aprobadas por el comite de gestión encontrandose debilidad en la realización de monitoreos y seguiemientos del cumplimiento de las mismas, se evidencia bajo cumplimiento en el plan de mejoramiento suscrito con la Contraloría Departamental frente a los hallazgos del proceso contable, sin embargo, se programará mesas de trabajo que contribuyan al fencimiento del mismo.  Se realizaron dos comites de Control Interno, se  realizaron  las Auditorias programadas de acuerdo a  la actualizacion realizada en el  mes de Octubre de 2024.</t>
  </si>
  <si>
    <t xml:space="preserve">ESE SANTIAGO DE TUNJA </t>
  </si>
  <si>
    <t>El documento interno o adopción del MECI (Modelo Estándar de Control Interno) actualizado está en proceso. Este modelo es crucial para establecer y fortalecer los sistemas de control interno en la entidad, asegurando la transparencia, eficiencia y cumplimiento normativo en la gestión pública. La adopción del MECI actualizado permitirá mejorar los procesos de auditoría, gestión de riesgos y control de los recursos, además de facilitar la rendición de cuentas y la toma de decisiones informadas. Una vez implementado, servirá como una herramienta esencial para garantizar que los procedimientos internos se alineen con las mejores prácticas y los estándares establecidos en el ámbito gubernamental.</t>
  </si>
  <si>
    <t>El documento que formaliza los estándares de conducta, los principios institucionales o los valores del servicio público, como un código de ética o de integridad, está en proceso de elaboración. Este documento tiene como objetivo establecer las normas y principios que deben guiar el comportamiento de los servidores públicos dentro de la entidad, promoviendo la transparencia, la honestidad y el compromiso con el bienestar común. Una vez aprobado, este código servirá como una referencia para la toma de decisiones éticas, la resolución de conflictos y la promoción de una cultura organizacional alineada con los valores del servicio público, asegurando que la entidad actúe con integridad y responsabilidad en todas sus acciones.</t>
  </si>
  <si>
    <t>Se han adelantado actividades como reuniones de seguimiento, capacitaciones y ejecución de estrategias clave, con registro en informes, actas y auditorías. Los resultados obtenidos reflejan mejoras en la operatividad y cumplimiento de objetivos, aunque se han identificado oportunidades de ajuste para optimizar su desarrollo. Se han definido medidas correctivas y próximas acciones con plazos y responsables, garantizando la continuidad y eficacia del proceso.</t>
  </si>
  <si>
    <t>La institución cuenta con una estructura organizacional formalizada a través de un organigrama que define claramente los niveles jerárquicos, funciones y relaciones de autoridad, asegurando una gestión eficiente y alineada con su misión institucional. Este organigrama establece la distribución de responsabilidades entre las diferentes áreas, facilitando la coordinación, toma de decisiones y cumplimiento de objetivos estratégicos. Además, permite optimizar recursos, mejorar la comunicación interna y garantizar la rendición de cuentas, promoviendo un funcionamiento transparente y ordenado dentro de la organización.</t>
  </si>
  <si>
    <t>El manual de funciones que describe los empleos de la entidad está en proceso de elaboración o actualización. Este documento es fundamental para clarificar las responsabilidades y funciones de cada puesto dentro de la organización, asegurando una asignación adecuada de tareas y evitando duplicidades o lagunas en la gestión. Además, establece las competencias necesarias para cada empleo, las relaciones jerárquicas y las expectativas de desempeño. Una vez finalizado, el manual servirá como una herramienta clave para la orientación del personal, la planificación de recursos humanos y la mejora de los procesos organizacionales.</t>
  </si>
  <si>
    <t>La documentación de los procesos y procedimientos, o una lista de actividades principales que permita conocer el estado de la gestión, está en proceso de desarrollo. Este esfuerzo busca crear un registro detallado de todas las actividades clave de la entidad, describiendo paso a paso los procedimientos que se siguen para cada proceso. Además, se establecerán indicadores y herramientas de monitoreo para facilitar el seguimiento y evaluación del desempeño de la gestión institucional. La implementación de esta documentación garantizará la transparencia, la mejora continua y permitirá identificar áreas de mejora para optimizar los resultados y asegurar el cumplimiento de los objetivos.</t>
  </si>
  <si>
    <t>La vinculación de los servidores públicos en la institución se realiza conforme al marco normativo que regula su desempeño, incluyendo la carrera administrativa, el sistema de libre nombramiento y remoción, entre otros. De acuerdo con este marco, se garantiza la selección de personal basada en méritos, competencias y el cumplimiento de los requisitos establecidos, promoviendo la profesionalización del servicio público. Además, se asegura la estabilidad laboral y la objetividad en los procesos de nombramiento, promoción y remoción, fomentando un ambiente de trabajo transparente, ético y alineado con los principios de la administración pública.</t>
  </si>
  <si>
    <t>La institución implementa procesos de inducción, capacitación y bienestar social para sus servidores públicos, tanto de manera directa como en colaboración con otras entidades municipales. Estos procesos están diseñados para asegurar que los empleados comprendan su rol, la misión institucional y las normativas vigentes desde su ingreso, mientras que la capacitación continua les permite actualizar y fortalecer sus habilidades profesionales. Además, se promueven actividades de bienestar social que buscan mejorar la calidad de vida laboral, fomentar un ambiente de trabajo saludable y fortalecer el compromiso con el servicio público, mediante programas de apoyo emocional, salud y recreación, en coordinación con otras entidades municipales para maximizar los beneficios disponibles.</t>
  </si>
  <si>
    <t>La evaluación de los servidores públicos se lleva a cabo de acuerdo con el marco normativo que regula su desempeño, considerando criterios objetivos como el cumplimiento de funciones, la eficiencia en el servicio y el comportamiento ético. Este proceso de evaluación está basado en los instrumentos establecidos por la carrera administrativa y otras normativas aplicables, lo que permite medir el rendimiento individual y colectivo de los empleados. Las evaluaciones se realizan de manera periódica y están orientadas a promover el desarrollo profesional, identificar necesidades de capacitación y mejorar los procesos organizacionales, garantizando que se cumpla con los estándares de calidad y transparencia en el servicio público.</t>
  </si>
  <si>
    <t>Los procesos de desvinculación de los servidores públicos se llevan a cabo de acuerdo con lo previsto en la Constitución Política y las leyes aplicables, asegurando que se respeten los derechos laborales y los principios de legalidad, igualdad y debido proceso. Esto incluye las causales de terminación de la relación laboral establecidas por la normativa vigente, como la renuncia, el retiro voluntario, la jubilación, la destitución por faltas graves, entre otras. En cada caso, se siguen los procedimientos legales establecidos, garantizando que los servidores públicos sean tratados de manera justa y conforme a las disposiciones constitucionales y legales, con la debida notificación y la posibilidad de presentar defensas o apelaciones cuando corresponda.</t>
  </si>
  <si>
    <t>La institución cuenta con diversos mecanismos de rendición de cuentas a la ciudadanía, los cuales buscan garantizar la transparencia y la participación activa de la sociedad en la gestión pública. Estos mecanismos incluyen la publicación de informes anuales de gestión, la realización de audiencias públicas, la divulgación de datos y resultados a través de plataformas digitales, y la apertura de espacios para la interacción y la retroalimentación de los ciudadanos. Además, se fomenta la participación de la comunidad en procesos de consulta y toma de decisiones, asegurando que los recursos públicos se gestionen de manera eficiente, ética y responsable, y permitiendo que la ciudadanía supervise y evalúe el desempeño institucional</t>
  </si>
  <si>
    <t>La institución asegura la presentación oportuna de sus informes de gestión a las autoridades competentes, cumpliendo con los plazos establecidos por la normativa vigente. Estos informes incluyen detalles sobre los avances, resultados y el uso de los recursos públicos, proporcionando una visión clara y precisa del desempeño institucional. La entrega de estos informes se realiza de manera transparente y en el formato requerido, facilitando el seguimiento, la evaluación y la toma de decisiones por parte de las autoridades correspondientes, contribuyendo a la rendición de cuentas y al fortalecimiento de la confianza pública en la gestión de los recursos del Estado.</t>
  </si>
  <si>
    <t>Actualmente, la identificación de cambios en el entorno que puedan generar consecuencias negativas en la gestión de la entidad no se ha implementado. Esta es una área que podría fortalecerse para permitir a la entidad anticipar posibles riesgos externos, como cambios en la legislación, factores económicos, sociales o tecnológicos que puedan afectar el cumplimiento de sus objetivos. Incorporar una estrategia de monitoreo y análisis del entorno podría ayudar a mitigar esos riesgos, adaptarse rápidamente a los cambios y mejorar la resiliencia institucional ante imprevistos.</t>
  </si>
  <si>
    <t>La institución lleva a cabo una identificación constante de los problemas o aspectos que pueden afectar el cumplimiento de sus planes y, en general, su gestión institucional, a través de un análisis de riesgos. Estos riesgos pueden incluir factores internos, como la falta de recursos, la rotación del personal o la falta de capacitación adecuada, así como factores externos, como cambios en las políticas públicas, fluctuaciones económicas o situaciones imprevistas como emergencias sanitarias o naturales. Al identificar estos riesgos, la institución implementa medidas preventivas y correctivas, como la diversificación de fuentes de financiamiento, la optimización de procesos y la planificación de contingencias, con el objetivo de minimizar su impacto y asegurar el cumplimiento de los objetivos establecidos.</t>
  </si>
  <si>
    <t>La entidad identifica los riesgos relacionados con posibles actos de corrupción en el ejercicio de sus funciones. A través de un análisis detallado de los procesos y actividades clave, se evalúan las áreas más vulnerables donde podrían surgir situaciones de conflicto de interés, soborno, mal manejo de recursos públicos o favoritismos. Con esta identificación, se pueden establecer medidas de prevención, como la capacitación continua en ética y transparencia para el personal, la implementación de controles estrictos y la creación de canales de denuncia confidenciales. Estas acciones ayudan a mitigar los riesgos de corrupción y promover una cultura de integridad en la institución.</t>
  </si>
  <si>
    <t>La identificación de riesgos asociados a las tecnologías de la información y las comunicaciones (TIC) está en proceso, en función de la capacidad e infraestructura disponible. Este proceso implica evaluar posibles amenazas relacionadas con la seguridad de la información, como ciberataques, vulnerabilidades en sistemas, pérdidas de datos, acceso no autorizado o fallos tecnológicos que puedan interrumpir la operación de la entidad. A medida que se identifican estos riesgos, se implementan medidas de protección como encriptación de datos, actualizaciones de seguridad, protocolos de acceso restringido y planes de contingencia para garantizar la continuidad operativa y la integridad de la información gestionada por la institución.</t>
  </si>
  <si>
    <t>La entidad hace seguimiento a los problemas (riesgos) que pueden afectar el cumplimiento de sus procesos, programas o proyectos a cargo. Este seguimiento se realiza mediante un monitoreo continuo de los indicadores clave de desempeño, la evaluación periódica de los riesgos identificados y la revisión de los avances de las actividades. Además, se implementan herramientas de gestión de riesgos para detectar cualquier desviación o problema que pueda surgir y se toman decisiones para mitigar su impacto. Este enfoque proactivo asegura que los riesgos sean gestionados de manera oportuna, evitando que obstaculicen el cumplimiento de los objetivos y permitiendo ajustes en tiempo real cuando sea necesario.</t>
  </si>
  <si>
    <t>La entidad informa de manera periódica a quien corresponda sobre el desempeño de las actividades de gestión de riesgos. Este informe incluye detalles sobre la identificación de riesgos, las acciones implementadas para mitigarlos, los resultados obtenidos y cualquier ajuste necesario en los planes de gestión. Los informes se presentan a las autoridades competentes, como instancias de control interno, órganos de auditoría y directivos de la entidad, garantizando que la información relevante se comparta de manera transparente y oportuna. Esto permite asegurar que los riesgos sean monitoreados de forma adecuada y que se tomen decisiones informadas para mejorar los procesos y garantizar el cumplimiento de los objetivos institucionales.</t>
  </si>
  <si>
    <t>La entidad está en proceso de identificar deficiencias en las maneras de controlar los riesgos o problemas en sus procesos, programas o proyectos. Este proceso implica una revisión constante de los métodos y herramientas actuales de gestión de riesgos, para detectar áreas de mejora y posibles brechas en el control. A medida que se identifican estas deficiencias, se proponen ajustes necesarios, como la actualización de protocolos, la implementación de nuevas tecnologías o la capacitación adicional del personal. Este enfoque busca asegurar que los riesgos sean gestionados de manera más eficiente y que la entidad esté mejor preparada para enfrentar cualquier desafío en sus actividades.</t>
  </si>
  <si>
    <t>Sí, la institución define espacios de reunión periódicos, tanto internos como con partes interesadas, para conocer las deficiencias en el control de riesgos o problemas en los procesos, programas o proyectos. Estos espacios permiten una discusión abierta sobre los desafíos identificados, promoviendo la colaboración entre los equipos responsables de la gestión de riesgos, así como la participación de expertos o consultores cuando es necesario. Durante estas reuniones, se analizan los problemas en detalle y se proponen acciones correctivas o de mejora para su solución, garantizando una respuesta oportuna y efectiva que permita mitigar los riesgos y asegurar el éxito de las actividades institucionales.</t>
  </si>
  <si>
    <t>Actualmente, cada líder del equipo no toma autónomamente las acciones para solucionar los problemas o riesgos. En su lugar, es posible que la toma de decisiones esté centralizada o requiera coordinación con otros niveles de la entidad. Este enfoque puede ser útil para garantizar la alineación con los objetivos institucionales y la consistencia en la implementación de soluciones. Sin embargo, fomentar la autonomía de los líderes en la gestión de riesgos podría mejorar la capacidad de respuesta y la eficiencia en la solución de problemas, permitiendo a cada equipo actuar con mayor rapidez y adaptarse a las situaciones específicas que enfrentan.</t>
  </si>
  <si>
    <t>La entidad no espera a que un organismo de control actúe para definir acciones de mejora. En lugar de ello, la mejora continua y la corrección de deficiencias se gestionan de manera proactiva, a través de evaluaciones internas, revisiones periódicas y monitoreo constante de los procesos y actividades. Si se identifican áreas de mejora, se toman medidas inmediatas para corregirlas y optimizar la gestión, incluso antes de que se generen observaciones o intervenciones por parte de los organismos de control. Este enfoque permite una gestión más ágil y un cumplimiento más efectivo de los objetivos institucionales.</t>
  </si>
  <si>
    <t>La entidad define acciones o actividades para dar tratamiento a los problemas identificados, incluyendo la mitigación de riesgos, con un enfoque específico en aquellos asociados a posibles actos de corrupción. Esto implica la implementación de estrategias para prevenir, detectar y corregir conductas indebidas, como la capacitación en ética y transparencia, la instauración de controles internos más estrictos, y la creación de canales de denuncia confidenciales. Además, se desarrollan planes de acción para abordar otros riesgos operacionales, asegurando que los procedimientos y controles sean adecuados y eficaces para proteger la integridad de la institución y garantizar el cumplimiento de las normativas.</t>
  </si>
  <si>
    <t>La entidad está en proceso de establecer mecanismos de verificación para evaluar si los riesgos están siendo mitigados adecuadamente. Estos mecanismos incluirán la implementación de indicadores de desempeño, auditorías periódicas, revisiones internas y reportes de seguimiento que permitan monitorear la efectividad de las acciones de mitigación. En caso de que los riesgos no sean mitigados de manera efectiva, se están elaborando planes de contingencia para subsanar sus consecuencias. Estos planes incluirán medidas específicas para actuar rápidamente ante situaciones imprevistas, asegurando la continuidad de los procesos y minimizando el impacto de cualquier problema o crisis.</t>
  </si>
  <si>
    <t>La entidad cuenta con planes, acciones o estrategias que permiten subsanar las consecuencias de la materialización de los riesgos cuando se presentan. Estos planes de contingencia están diseñados para abordar de manera efectiva cualquier impacto negativo, asegurando una respuesta rápida y eficiente. Las estrategias incluyen la asignación de recursos adicionales, la reconfiguración de procesos afectados, y la implementación de soluciones alternativas para mitigar el daño. Además, se realiza un monitoreo constante para activar las acciones correctivas oportunamente, minimizando las consecuencias y garantizando la continuidad de las operaciones de la entidad.</t>
  </si>
  <si>
    <t>El documento que consolida los riesgos y el tratamiento que se les da, incluyendo aquellos relacionados con posibles actos de corrupción y, si la capacidad e infraestructura lo permite, los asociados con las tecnologías de la información y las comunicaciones, está en proceso de elaboración. Este documento integrará la identificación de riesgos, las estrategias de mitigación y los planes de contingencia asociados, proporcionando una visión clara y centralizada sobre cómo se gestionan los riesgos dentro de la entidad. Además, se incluirán acciones específicas para abordar la corrupción y proteger los sistemas tecnológicos, con el fin de garantizar la transparencia y la seguridad en todas las operaciones institucionales.</t>
  </si>
  <si>
    <t>La institución ha elaborado un Plan Anticorrupción y de Servicio al Ciudadano, que incluye estrategias y acciones específicas para prevenir, detectar y sancionar actos de corrupción, así como para garantizar una atención eficiente y transparente a la ciudadanía. Este plan abarca temas como la promoción de la ética pública, la implementación de mecanismos de denuncia, la rendición de cuentas, la capacitación del personal en valores y normas de conducta, y la mejora continua en la atención al público. Además, se establecen protocolos claros para la atención de quejas y sugerencias, y se fomenta la participación ciudadana en la vigilancia de la gestión pública. El plan es publicado en medios oficiales, como el sitio web institucional y redes sociales, para garantizar su accesibilidad y conocimiento por parte de todos los ciudadanos, promoviendo la transparencia y el compromiso institucional con la integridad y el servicio público.</t>
  </si>
  <si>
    <r>
      <rPr>
        <sz val="12"/>
        <rFont val="Arial"/>
        <family val="2"/>
      </rPr>
      <t>La entidad </t>
    </r>
    <r>
      <rPr>
        <sz val="12"/>
        <color rgb="FF000000"/>
        <rFont val="Arial"/>
        <family val="2"/>
      </rPr>
      <t>tiene responsables asignados para la información institucional, quienes son encargados de gestionar, mantener y garantizar la integridad, disponibilidad y confidencialidad de la información que se maneja. Estos responsables se aseguran de que los datos sean correctamente clasificados, almacenados y procesados, siguiendo las normativas y políticas internas y externas de gestión de la información. Además, son los encargados de velar por el cumplimiento de los procedimientos de acceso, difusión y protección de la información, asegurando su correcta circulación tanto dentro de la entidad como hacia otras partes interesadas, como organismos de control o la ciudadanía.</t>
    </r>
  </si>
  <si>
    <t>La institución establece diversos canales de comunicación con los ciudadanos para garantizar una interacción fluida, transparente y accesible. Estos canales incluyen el portal web oficial, donde se publican noticias, informes y documentos de interés público; redes sociales, como Facebook, Twitter y Instagram, para actualizar y responder a inquietudes de forma más inmediata; y líneas telefónicas o centros de atención al ciudadano, donde se pueden resolver consultas y recibir quejas o sugerencias. También se habilitan mecanismos de atención en persona, como ventanillas o mesas de servicio, y se promueven correos electrónicos y formularios en línea para facilitar la comunicación. Además, se pueden organizar audiencias públicas o foros de consulta para fomentar la participación directa de la ciudadanía en temas clave. Estos canales buscan asegurar que los ciudadanos tengan acceso a la información y puedan ejercer sus derechos de manera efectiva.</t>
  </si>
  <si>
    <t>La institución dispone de varios canales y mecanismos de reporte de información a otros organismos gubernamentales o de control, garantizando la transparencia y el cumplimiento de las normativas. Entre estos mecanismos se incluyen la entrega de informes periódicos a entidades de control como la Contraloría General, la Auditoría Interna y la Procuraduría, donde se reportan actividades, resultados financieros y de gestión. También se utilizan plataformas electrónicas y sistemas de gestión pública establecidos por el gobierno, como el Sistema de Información y Control Interno (SPOA) o el Sistema de Gestión de la Calidad, para transmitir datos y cumplir con las auditorías externas. Además, se pueden presentar reportes a través de mecanismos de denuncia formal, como la línea anticorrupción o los portales de quejas y denuncias de los organismos de control. Estos canales aseguran que la información relevante se transmita de manera oportuna y efectiva para su revisión y supervisión por las entidades competentes.</t>
  </si>
  <si>
    <t>Los lineamientos para dar tratamiento a la información de carácter reservado están diseñados para garantizar la protección de datos sensibles, respetando los principios de confidencialidad, seguridad y legalidad. En primer lugar, se debe clasificar la información según su nivel de reserva, de acuerdo con las normativas y leyes vigentes, como la Ley de Protección de Datos Personales o las leyes de transparencia. Solo el personal autorizado tiene acceso a esta información, y dicho acceso debe ser controlado mediante sistemas de autenticación y permisos. Además, se deben implementar medidas de seguridad tecnológica, como encriptación de datos y almacenamiento seguro, para evitar accesos no autorizados. Los documentos reservados deben ser manejados de manera confidencial y destruidos de forma segura una vez que ya no sean necesarios. Finalmente, la divulgación de esta información debe realizarse únicamente cuando esté debidamente autorizada y de acuerdo con los procedimientos legales establecidos.</t>
  </si>
  <si>
    <t>La entidad identifica la información que produce en el marco de su gestión y la clasifica según su relevancia para diferentes partes interesadas, como los ciudadanos, organismos de control y organismos gubernamentales. Esta información puede incluir informes de gestión, presupuestos, estadísticas de desempeño, auditorías, registros de actividades, entre otros documentos clave. La entidad se asegura de que esta información sea accesible, transparente y conforme a las normativas de transparencia y rendición de cuentas, garantizando que los ciudadanos y organismos correspondientes puedan obtenerla de manera clara y oportuna cuando lo necesiten.</t>
  </si>
  <si>
    <t>La entidad identifica la información necesaria para su operación, que incluye elementos clave como el normograma, el presupuesto, el talento humano, y la infraestructura física y tecnológica. Estos elementos son esenciales para garantizar el funcionamiento eficiente y la toma de decisiones informadas dentro de la entidad. El normograma permite conocer la estructura normativa que rige las actividades, el presupuesto define los recursos financieros disponibles, el talento humano se refiere a la gestión del personal necesario para llevar a cabo las actividades, y la infraestructura física y tecnológica cubre los recursos materiales y tecnológicos que soportan la operación diaria. Esta información se organiza y se gestiona de manera sistemática para asegurar la alineación con los objetivos institucionales y una administración eficaz.</t>
  </si>
  <si>
    <t>Si la capacidad e infraestructura lo permiten, las tecnologías de la información y las comunicaciones (TIC) son esenciales para soportar los procesos institucionales, mejorando la eficiencia y la transparencia. Esto incluye sistemas de gestión de información, herramientas de comunicación y colaboración, plataformas de planificación de recursos, y medidas de seguridad informática. Además, se utilizan plataformas de transparencia y participación ciudadana para fomentar la interacción con la comunidad, y soluciones en la nube para una gestión flexible y escalable de los recursos, optimizando tanto los procesos internos como la atención a los ciudadanos.</t>
  </si>
  <si>
    <t>Los mecanismos de evaluación de la gestión incluyen herramientas como cronogramas, indicadores de desempeño, listas de chequeo y otros métodos para medir y supervisar el progreso de los procesos, programas y proyectos institucionales. Los cronogramas permiten establecer tiempos y fechas para las actividades, facilitando el seguimiento de su ejecución. Los indicadores de desempeño son utilizados para medir la eficacia, eficiencia y calidad de los resultados alcanzados en relación con los objetivos establecidos. Las listas de chequeo sirven para verificar el cumplimiento de procedimientos y requisitos específicos. Además, se pueden utilizar auditorías internas, encuestas de satisfacción y reuniones periódicas para revisar y ajustar las estrategias según sea necesario, asegurando que la gestión se mantenga alineada con los objetivos institucionales.</t>
  </si>
  <si>
    <t>La entidad está en proceso de implementar un mecanismo para monitorear o supervisar el sistema de control interno institucional, el cual podrá ser gestionado por el representante legal, el área de control interno (si la entidad cuenta con ella), o bien a través del Comité departamental o municipal de Auditoría. Este mecanismo tiene como objetivo asegurar que los controles internos sean eficaces y estén alineados con las normativas vigentes, ayudando a prevenir irregularidades y garantizando la transparencia en la gestión. En este proceso, se establecerán procedimientos y herramientas para evaluar el funcionamiento del sistema de control interno y realizar ajustes cuando sea necesario, promoviendo una cultura de mejora continua dentro de la institución.</t>
  </si>
  <si>
    <t>En caso de detectarse deficiencias durante los ejercicios de evaluación, seguimiento o auditoría, la institución implementa medidas correctivas como la revisión y ajuste de los procedimientos internos, la actualización de los cronogramas y la mejora de los controles establecidos. Esto puede implicar la capacitación adicional del personal en áreas donde se hayan identificado brechas, la reestructuración de los procesos o la implementación de nuevas herramientas de monitoreo. Además, se pueden reforzar los mecanismos de rendición de cuentas, asignar recursos adicionales o redefinir los indicadores de desempeño para asegurar que los objetivos sean alcanzados de manera efectiva. Estas medidas buscan corregir las fallas, mejorar el rendimiento institucional y garantizar la transparencia y eficiencia en la gestión.</t>
  </si>
  <si>
    <t>La entidad realiza seguimiento a los planes de mejoramiento suscritos con instancias de control internas o externas. Este seguimiento consiste en revisar periódicamente el progreso de las acciones comprometidas, asegurándose de que se estén implementando de acuerdo con los plazos establecidos y con los estándares exigidos. A través de auditorías internas y externas, informes de gestión y reuniones de seguimiento, se monitorea la efectividad de las medidas correctivas y de mejora. Este proceso garantiza que las recomendaciones recibidas se lleven a cabo de manera adecuada y que se logren los resultados esperados para mejorar la eficiencia y la transparencia de la gestión institucional.</t>
  </si>
  <si>
    <t>La participación de la entidad en el Comité Municipal de Auditoría depende de la estructura organizacional y las normativas locales. En muchos casos, las entidades públicas participan en este comité como parte de sus esfuerzos para asegurar la transparencia y el buen uso de los recursos públicos. El Comité Municipal de Auditoría suele estar conformado por representantes de diversas entidades gubernamentales y organismos de control, y tiene como objetivo evaluar los procesos de auditoría, supervisar la gestión financiera y asegurar el cumplimiento de las normas y políticas públicas. Si la entidad es parte de este comité, su participación implicaría colaborar en las auditorías, recibir recomendaciones y actuar en consecuencia para corregir deficiencias y mejorar la gestión.</t>
  </si>
  <si>
    <t>Para evitar que los problemas (riesgos) obstaculicen el cumplimiento de los objetivos, la institución implementa una gestión proactiva de riesgos, que incluye la identificación temprana de posibles amenazas, su evaluación y la implementación de medidas preventivas. Esto puede implicar la creación de planes de contingencia, la asignación de recursos adecuados para mitigar los riesgos y la capacitación del personal para manejar situaciones inesperadas. Además, se establecen sistemas de monitoreo constante, como indicadores de desempeño y auditorías periódicas, para detectar cualquier desviación a tiempo. La colaboración entre los diferentes equipos y la toma de decisiones informadas son esenciales para asegurar que los riesgos sean gestionados de manera efectiva, permitiendo que la institución continúe avanzando hacia el cumplimiento de sus objetivos sin mayores obstáculos.</t>
  </si>
  <si>
    <t>La entidad está en proceso de controlar los puntos críticos en los procesos. Esto implica identificar las áreas clave dentro de sus operaciones que son más susceptibles a fallos o riesgos, y establecer controles específicos para gestionarlas de manera eficaz. Estos puntos críticos pueden incluir la gestión de recursos, la toma de decisiones estratégicas, la ejecución de proyectos clave, y otros procesos que impactan directamente en el cumplimiento de los objetivos. A través de herramientas de monitoreo y análisis continuo, la entidad busca implementar soluciones preventivas y correctivas para minimizar cualquier riesgo que pueda afectar el desempeño y la eficiencia de los procesos.</t>
  </si>
  <si>
    <t>La entidad diseña acciones adecuadas para controlar los problemas que afectan el cumplimiento de las metas y objetivos institucionales, es decir, los riesgos. Estas acciones incluyen la identificación precisa de los riesgos, la evaluación de su impacto y la implementación de medidas preventivas y correctivas. Se utilizan estrategias como la asignación de recursos específicos, la reestructuración de procesos, la capacitación del personal y la adopción de nuevas tecnologías o herramientas para mejorar la eficiencia. Además, se monitorean continuamente los riesgos y se ajustan las acciones según sea necesario para garantizar que los objetivos institucionales sean alcanzados sin contratiempos.</t>
  </si>
  <si>
    <t>La entidad ejecuta las acciones de acuerdo a como se diseñaron previamente. Una vez que se han identificado los riesgos y se han diseñado las medidas correctivas y preventivas, se procede con su implementación de manera organizada y conforme a los planes establecidos. Las acciones se ejecutan siguiendo los cronogramas, asignando los recursos necesarios y garantizando la coordinación entre los diferentes equipos responsables. Además, se asegura que cada acción esté alineada con los objetivos institucionales y se monitorea su progreso para verificar su efectividad. Esto permite que los problemas sean abordados de manera oportuna, contribuyendo al cumplimiento de las metas y al fortalecimiento de los procesos institucionales.</t>
  </si>
  <si>
    <t>La entidad sí gestiona los problemas que afectan el cumplimiento de las funciones y objetivos institucionales (riesgos). A través de un enfoque sistemático de identificación, evaluación y mitigación, se gestionan los riesgos que pueden interferir en la ejecución de los procesos y en la consecución de las metas establecidas. Esto incluye la implementación de medidas preventivas, el monitoreo constante de las actividades y la adopción de estrategias correctivas para asegurar que los riesgos sean gestionados de manera efectiva, minimizando su impacto en el desempeño institucional y garantizando el cumplimiento de los objetivos.</t>
  </si>
  <si>
    <t>ENERO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</si>
</sst>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rgb="FF000000"/>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21">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0" fillId="0" borderId="24" xfId="0" applyBorder="1" applyAlignment="1" applyProtection="1">
      <alignment horizontal="center" wrapText="1"/>
      <protection locked="0"/>
    </xf>
    <xf numFmtId="0" fontId="0" fillId="0" borderId="1" xfId="0" applyBorder="1" applyAlignment="1" applyProtection="1">
      <alignment horizontal="center"/>
      <protection locked="0"/>
    </xf>
    <xf numFmtId="0" fontId="0" fillId="0" borderId="25" xfId="0" applyBorder="1" applyAlignment="1" applyProtection="1">
      <alignment horizontal="center"/>
      <protection locked="0"/>
    </xf>
    <xf numFmtId="0" fontId="52" fillId="12" borderId="0" xfId="0" applyFont="1" applyFill="1" applyAlignment="1">
      <alignment horizontal="center" vertical="center" wrapText="1"/>
    </xf>
    <xf numFmtId="0" fontId="57" fillId="0" borderId="24" xfId="0" applyFont="1" applyBorder="1" applyAlignment="1" applyProtection="1">
      <alignment horizontal="center" vertical="center" wrapText="1"/>
      <protection locked="0"/>
    </xf>
    <xf numFmtId="0" fontId="57" fillId="0" borderId="1"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0" fontId="0" fillId="0" borderId="24" xfId="0" applyBorder="1" applyAlignment="1" applyProtection="1">
      <alignment horizontal="right" vertical="center" wrapText="1"/>
      <protection locked="0"/>
    </xf>
    <xf numFmtId="0" fontId="0" fillId="0" borderId="1" xfId="0" applyBorder="1" applyAlignment="1" applyProtection="1">
      <alignment horizontal="right" vertical="center"/>
      <protection locked="0"/>
    </xf>
    <xf numFmtId="0" fontId="0" fillId="0" borderId="25" xfId="0" applyBorder="1" applyAlignment="1" applyProtection="1">
      <alignment horizontal="right" vertical="center"/>
      <protection locked="0"/>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right" vertical="center" wrapText="1"/>
      <protection locked="0"/>
    </xf>
    <xf numFmtId="49" fontId="0" fillId="4" borderId="84" xfId="0" applyNumberFormat="1" applyFill="1" applyBorder="1" applyAlignment="1" applyProtection="1">
      <alignment horizontal="right" vertical="center" wrapText="1"/>
      <protection locked="0"/>
    </xf>
    <xf numFmtId="49" fontId="0" fillId="4" borderId="3" xfId="0" applyNumberFormat="1" applyFill="1" applyBorder="1" applyAlignment="1" applyProtection="1">
      <alignment horizontal="center" vertical="top" wrapText="1"/>
      <protection locked="0"/>
    </xf>
    <xf numFmtId="49" fontId="0" fillId="4" borderId="85" xfId="0" applyNumberFormat="1" applyFill="1" applyBorder="1" applyAlignment="1" applyProtection="1">
      <alignment horizontal="center" vertical="top" wrapText="1"/>
      <protection locked="0"/>
    </xf>
    <xf numFmtId="49" fontId="0" fillId="4" borderId="4" xfId="0" applyNumberFormat="1" applyFill="1" applyBorder="1" applyAlignment="1" applyProtection="1">
      <alignment horizontal="center" vertical="top" wrapText="1"/>
      <protection locked="0"/>
    </xf>
    <xf numFmtId="49" fontId="0" fillId="4" borderId="86" xfId="0" applyNumberFormat="1" applyFill="1" applyBorder="1" applyAlignment="1" applyProtection="1">
      <alignment horizontal="center"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opLeftCell="A3" zoomScale="90" zoomScaleNormal="90" workbookViewId="0">
      <selection activeCell="B6" sqref="B6:H7"/>
    </sheetView>
  </sheetViews>
  <sheetFormatPr baseColWidth="10" defaultColWidth="0" defaultRowHeight="13" zeroHeight="1" x14ac:dyDescent="0.15"/>
  <cols>
    <col min="1" max="1" width="3.83203125" style="42" customWidth="1"/>
    <col min="2" max="2" width="15.33203125" style="42" customWidth="1"/>
    <col min="3" max="3" width="17.33203125" style="42" customWidth="1"/>
    <col min="4" max="4" width="28.5" style="42" customWidth="1"/>
    <col min="5" max="5" width="12.83203125" style="42" customWidth="1"/>
    <col min="6" max="6" width="47.1640625" style="42" customWidth="1"/>
    <col min="7" max="7" width="21.5" style="42" customWidth="1"/>
    <col min="8" max="8" width="6.5" style="42" customWidth="1"/>
    <col min="9" max="9" width="2.5" style="42" customWidth="1"/>
    <col min="10" max="16384" width="11.5" style="42" hidden="1"/>
  </cols>
  <sheetData>
    <row r="1" spans="2:8" ht="14" thickBot="1" x14ac:dyDescent="0.2"/>
    <row r="2" spans="2:8" ht="73.5" customHeight="1" x14ac:dyDescent="0.15">
      <c r="B2" s="185" t="s">
        <v>0</v>
      </c>
      <c r="C2" s="186"/>
      <c r="D2" s="186"/>
      <c r="E2" s="186"/>
      <c r="F2" s="186"/>
      <c r="G2" s="186"/>
      <c r="H2" s="187"/>
    </row>
    <row r="3" spans="2:8" ht="65.25" customHeight="1" x14ac:dyDescent="0.15">
      <c r="B3" s="188" t="s">
        <v>1</v>
      </c>
      <c r="C3" s="189"/>
      <c r="D3" s="189"/>
      <c r="E3" s="189"/>
      <c r="F3" s="189"/>
      <c r="G3" s="189"/>
      <c r="H3" s="190"/>
    </row>
    <row r="4" spans="2:8" ht="82.5" customHeight="1" x14ac:dyDescent="0.15">
      <c r="B4" s="188"/>
      <c r="C4" s="189"/>
      <c r="D4" s="189"/>
      <c r="E4" s="189"/>
      <c r="F4" s="189"/>
      <c r="G4" s="189"/>
      <c r="H4" s="190"/>
    </row>
    <row r="5" spans="2:8" ht="21.75" customHeight="1" x14ac:dyDescent="0.15">
      <c r="B5" s="191" t="s">
        <v>2</v>
      </c>
      <c r="C5" s="192"/>
      <c r="D5" s="192"/>
      <c r="E5" s="192"/>
      <c r="F5" s="192"/>
      <c r="G5" s="192"/>
      <c r="H5" s="193"/>
    </row>
    <row r="6" spans="2:8" ht="42" customHeight="1" x14ac:dyDescent="0.15">
      <c r="B6" s="194" t="s">
        <v>3</v>
      </c>
      <c r="C6" s="195"/>
      <c r="D6" s="195"/>
      <c r="E6" s="195"/>
      <c r="F6" s="195"/>
      <c r="G6" s="195"/>
      <c r="H6" s="196"/>
    </row>
    <row r="7" spans="2:8" ht="14.25" customHeight="1" x14ac:dyDescent="0.15">
      <c r="B7" s="194"/>
      <c r="C7" s="195"/>
      <c r="D7" s="195"/>
      <c r="E7" s="195"/>
      <c r="F7" s="195"/>
      <c r="G7" s="195"/>
      <c r="H7" s="196"/>
    </row>
    <row r="8" spans="2:8" ht="12.75" customHeight="1" thickBot="1" x14ac:dyDescent="0.2">
      <c r="B8" s="54"/>
      <c r="C8" s="48"/>
      <c r="D8" s="63"/>
      <c r="E8" s="64"/>
      <c r="F8" s="64"/>
      <c r="G8" s="62"/>
      <c r="H8" s="56"/>
    </row>
    <row r="9" spans="2:8" ht="21" customHeight="1" thickTop="1" x14ac:dyDescent="0.15">
      <c r="B9" s="54"/>
      <c r="C9" s="197" t="s">
        <v>4</v>
      </c>
      <c r="D9" s="198"/>
      <c r="E9" s="199" t="s">
        <v>5</v>
      </c>
      <c r="F9" s="200"/>
      <c r="G9" s="48"/>
      <c r="H9" s="56"/>
    </row>
    <row r="10" spans="2:8" ht="37.5" customHeight="1" x14ac:dyDescent="0.15">
      <c r="B10" s="54"/>
      <c r="C10" s="177" t="s">
        <v>6</v>
      </c>
      <c r="D10" s="178"/>
      <c r="E10" s="179" t="s">
        <v>7</v>
      </c>
      <c r="F10" s="180"/>
      <c r="G10" s="48"/>
      <c r="H10" s="56"/>
    </row>
    <row r="11" spans="2:8" ht="39.75" customHeight="1" x14ac:dyDescent="0.15">
      <c r="B11" s="54"/>
      <c r="C11" s="181" t="s">
        <v>8</v>
      </c>
      <c r="D11" s="182"/>
      <c r="E11" s="158" t="s">
        <v>9</v>
      </c>
      <c r="F11" s="159"/>
      <c r="G11" s="48"/>
      <c r="H11" s="56"/>
    </row>
    <row r="12" spans="2:8" ht="59.25" customHeight="1" x14ac:dyDescent="0.15">
      <c r="B12" s="54"/>
      <c r="C12" s="181" t="s">
        <v>10</v>
      </c>
      <c r="D12" s="182"/>
      <c r="E12" s="183" t="s">
        <v>11</v>
      </c>
      <c r="F12" s="184"/>
      <c r="G12" s="48"/>
      <c r="H12" s="56"/>
    </row>
    <row r="13" spans="2:8" ht="33.75" customHeight="1" x14ac:dyDescent="0.15">
      <c r="B13" s="54"/>
      <c r="C13" s="156" t="s">
        <v>12</v>
      </c>
      <c r="D13" s="157"/>
      <c r="E13" s="158" t="s">
        <v>13</v>
      </c>
      <c r="F13" s="159"/>
      <c r="G13" s="48"/>
      <c r="H13" s="56"/>
    </row>
    <row r="14" spans="2:8" ht="19.5" customHeight="1" x14ac:dyDescent="0.15">
      <c r="B14" s="54"/>
      <c r="C14" s="60"/>
      <c r="D14" s="60"/>
      <c r="E14" s="61"/>
      <c r="F14" s="61"/>
      <c r="G14" s="48"/>
      <c r="H14" s="56"/>
    </row>
    <row r="15" spans="2:8" ht="37.5" customHeight="1" thickBot="1" x14ac:dyDescent="0.2">
      <c r="B15" s="152" t="s">
        <v>14</v>
      </c>
      <c r="C15" s="153"/>
      <c r="D15" s="153"/>
      <c r="E15" s="153"/>
      <c r="F15" s="153"/>
      <c r="G15" s="153"/>
      <c r="H15" s="154"/>
    </row>
    <row r="16" spans="2:8" ht="27.75" customHeight="1" thickBot="1" x14ac:dyDescent="0.2">
      <c r="B16" s="54"/>
      <c r="C16" s="160" t="s">
        <v>15</v>
      </c>
      <c r="D16" s="161"/>
      <c r="E16" s="161" t="s">
        <v>16</v>
      </c>
      <c r="F16" s="172"/>
      <c r="G16" s="48"/>
      <c r="H16" s="56"/>
    </row>
    <row r="17" spans="2:8" ht="27.75" customHeight="1" x14ac:dyDescent="0.15">
      <c r="B17" s="54"/>
      <c r="C17" s="173" t="s">
        <v>17</v>
      </c>
      <c r="D17" s="174"/>
      <c r="E17" s="175" t="s">
        <v>18</v>
      </c>
      <c r="F17" s="176"/>
      <c r="G17" s="93"/>
      <c r="H17" s="56"/>
    </row>
    <row r="18" spans="2:8" ht="41.25" customHeight="1" x14ac:dyDescent="0.15">
      <c r="B18" s="54"/>
      <c r="C18" s="162" t="s">
        <v>19</v>
      </c>
      <c r="D18" s="163"/>
      <c r="E18" s="164" t="s">
        <v>20</v>
      </c>
      <c r="F18" s="165"/>
      <c r="G18" s="94"/>
      <c r="H18" s="56"/>
    </row>
    <row r="19" spans="2:8" ht="37.5" customHeight="1" thickBot="1" x14ac:dyDescent="0.2">
      <c r="B19" s="54"/>
      <c r="C19" s="166" t="s">
        <v>21</v>
      </c>
      <c r="D19" s="167"/>
      <c r="E19" s="168" t="s">
        <v>22</v>
      </c>
      <c r="F19" s="169"/>
      <c r="G19" s="94"/>
      <c r="H19" s="56"/>
    </row>
    <row r="20" spans="2:8" ht="11.25" customHeight="1" x14ac:dyDescent="0.15">
      <c r="B20" s="49"/>
      <c r="C20" s="50"/>
      <c r="D20" s="50"/>
      <c r="E20" s="50"/>
      <c r="F20" s="50"/>
      <c r="G20" s="50"/>
      <c r="H20" s="51"/>
    </row>
    <row r="21" spans="2:8" ht="14.25" customHeight="1" x14ac:dyDescent="0.15">
      <c r="B21" s="52"/>
      <c r="C21" s="170"/>
      <c r="D21" s="170"/>
      <c r="E21" s="171"/>
      <c r="F21" s="171"/>
      <c r="G21" s="171"/>
      <c r="H21" s="53"/>
    </row>
    <row r="22" spans="2:8" ht="36" customHeight="1" x14ac:dyDescent="0.15">
      <c r="B22" s="152" t="s">
        <v>23</v>
      </c>
      <c r="C22" s="153"/>
      <c r="D22" s="153"/>
      <c r="E22" s="153"/>
      <c r="F22" s="153"/>
      <c r="G22" s="153"/>
      <c r="H22" s="154"/>
    </row>
    <row r="23" spans="2:8" x14ac:dyDescent="0.15">
      <c r="B23" s="54"/>
      <c r="C23" s="55"/>
      <c r="D23" s="55"/>
      <c r="E23" s="155"/>
      <c r="F23" s="155"/>
      <c r="G23" s="48"/>
      <c r="H23" s="56"/>
    </row>
    <row r="24" spans="2:8" ht="14" thickBot="1" x14ac:dyDescent="0.2">
      <c r="B24" s="57"/>
      <c r="C24" s="58"/>
      <c r="D24" s="58"/>
      <c r="E24" s="58"/>
      <c r="F24" s="58"/>
      <c r="G24" s="58"/>
      <c r="H24" s="59"/>
    </row>
    <row r="25" spans="2:8" x14ac:dyDescent="0.15"/>
    <row r="26" spans="2:8" ht="29.25" customHeight="1" x14ac:dyDescent="0.15"/>
    <row r="27" spans="2:8" ht="26.25" customHeight="1" x14ac:dyDescent="0.15"/>
    <row r="28" spans="2:8" ht="43.5" customHeight="1" x14ac:dyDescent="0.15"/>
    <row r="29" spans="2:8" ht="53.25" customHeight="1" x14ac:dyDescent="0.15"/>
    <row r="30" spans="2:8" x14ac:dyDescent="0.15"/>
    <row r="31" spans="2:8" x14ac:dyDescent="0.15"/>
    <row r="32" spans="2:8" x14ac:dyDescent="0.15"/>
    <row r="33" x14ac:dyDescent="0.15"/>
    <row r="34" x14ac:dyDescent="0.15"/>
    <row r="35"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x14ac:dyDescent="0.15"/>
    <row r="52" x14ac:dyDescent="0.15"/>
    <row r="54" x14ac:dyDescent="0.15"/>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B38" zoomScale="86" zoomScaleNormal="112" workbookViewId="0">
      <selection activeCell="F40" sqref="F40"/>
    </sheetView>
  </sheetViews>
  <sheetFormatPr baseColWidth="10" defaultColWidth="11.5" defaultRowHeight="14" x14ac:dyDescent="0.15"/>
  <cols>
    <col min="1" max="1" width="3" style="44" hidden="1" customWidth="1"/>
    <col min="2" max="2" width="9.5" style="44" customWidth="1"/>
    <col min="3" max="3" width="25.5" style="44" customWidth="1"/>
    <col min="4" max="4" width="46.5" style="44" customWidth="1"/>
    <col min="5" max="5" width="10.1640625" style="66" customWidth="1"/>
    <col min="6" max="6" width="44.5" style="66" customWidth="1"/>
    <col min="7" max="7" width="15.5" style="44" customWidth="1"/>
    <col min="8" max="9" width="43" style="44" customWidth="1"/>
    <col min="10" max="12" width="11.5" style="69" customWidth="1"/>
    <col min="13" max="24" width="11.5" style="44" customWidth="1"/>
    <col min="25" max="16384" width="11.5" style="44"/>
  </cols>
  <sheetData>
    <row r="1" spans="1:32" x14ac:dyDescent="0.15">
      <c r="B1" s="43"/>
      <c r="C1" s="43"/>
      <c r="D1" s="43"/>
      <c r="E1" s="65"/>
      <c r="F1" s="65"/>
      <c r="G1" s="43"/>
      <c r="H1" s="43"/>
      <c r="I1" s="43"/>
      <c r="J1" s="67"/>
      <c r="K1" s="67"/>
      <c r="L1" s="67"/>
      <c r="M1" s="43"/>
      <c r="N1" s="43"/>
      <c r="O1" s="43"/>
      <c r="P1" s="43"/>
      <c r="Q1" s="43"/>
      <c r="R1" s="43"/>
      <c r="S1" s="43"/>
      <c r="T1" s="43"/>
      <c r="U1" s="43"/>
      <c r="V1" s="43"/>
      <c r="W1" s="43"/>
      <c r="X1" s="43"/>
    </row>
    <row r="2" spans="1:32" x14ac:dyDescent="0.15">
      <c r="B2" s="43"/>
      <c r="C2" s="43"/>
      <c r="D2" s="43"/>
      <c r="E2" s="65"/>
      <c r="F2" s="65"/>
      <c r="G2" s="43"/>
      <c r="H2" s="43"/>
      <c r="I2" s="43"/>
      <c r="J2" s="67"/>
      <c r="K2" s="67"/>
      <c r="L2" s="67"/>
      <c r="M2" s="43"/>
      <c r="N2" s="43"/>
      <c r="O2" s="43"/>
      <c r="P2" s="43"/>
      <c r="Q2" s="43"/>
      <c r="R2" s="43"/>
      <c r="S2" s="43"/>
      <c r="T2" s="43"/>
      <c r="U2" s="43"/>
      <c r="V2" s="43"/>
      <c r="W2" s="43"/>
      <c r="X2" s="43"/>
    </row>
    <row r="3" spans="1:32" x14ac:dyDescent="0.15">
      <c r="B3" s="43"/>
      <c r="C3" s="43"/>
      <c r="D3" s="43"/>
      <c r="E3" s="65"/>
      <c r="F3" s="65"/>
      <c r="G3" s="43"/>
      <c r="H3" s="43"/>
      <c r="I3" s="43"/>
      <c r="J3" s="67"/>
      <c r="K3" s="67"/>
      <c r="L3" s="67"/>
      <c r="M3" s="43"/>
      <c r="N3" s="43"/>
      <c r="O3" s="43"/>
      <c r="P3" s="43"/>
      <c r="Q3" s="43"/>
      <c r="R3" s="43"/>
      <c r="S3" s="43"/>
      <c r="T3" s="43"/>
      <c r="U3" s="43"/>
      <c r="V3" s="43"/>
      <c r="W3" s="43"/>
      <c r="X3" s="43"/>
    </row>
    <row r="4" spans="1:32" x14ac:dyDescent="0.15">
      <c r="B4" s="43"/>
      <c r="C4" s="43"/>
      <c r="D4" s="43"/>
      <c r="E4" s="65"/>
      <c r="F4" s="65"/>
      <c r="G4" s="43"/>
      <c r="H4" s="43"/>
      <c r="I4" s="43"/>
      <c r="J4" s="67"/>
      <c r="K4" s="67"/>
      <c r="L4" s="67"/>
      <c r="M4" s="43"/>
      <c r="N4" s="43"/>
      <c r="O4" s="43"/>
      <c r="P4" s="43"/>
      <c r="Q4" s="43"/>
      <c r="R4" s="43"/>
      <c r="S4" s="43"/>
      <c r="T4" s="43"/>
      <c r="U4" s="43"/>
      <c r="V4" s="43"/>
      <c r="W4" s="43"/>
      <c r="X4" s="43"/>
    </row>
    <row r="5" spans="1:32" x14ac:dyDescent="0.15">
      <c r="B5" s="43"/>
      <c r="C5" s="43"/>
      <c r="D5" s="43"/>
      <c r="E5" s="65"/>
      <c r="F5" s="65"/>
      <c r="G5" s="43"/>
      <c r="H5" s="43"/>
      <c r="I5" s="43"/>
      <c r="J5" s="67"/>
      <c r="K5" s="67"/>
      <c r="L5" s="67"/>
      <c r="M5" s="43"/>
      <c r="N5" s="43"/>
      <c r="O5" s="43"/>
      <c r="P5" s="43"/>
      <c r="Q5" s="43"/>
      <c r="R5" s="43"/>
      <c r="S5" s="43"/>
      <c r="T5" s="43"/>
      <c r="U5" s="43"/>
      <c r="V5" s="43"/>
      <c r="W5" s="43"/>
      <c r="X5" s="43"/>
    </row>
    <row r="6" spans="1:32" x14ac:dyDescent="0.15">
      <c r="B6" s="43"/>
      <c r="C6" s="43"/>
      <c r="D6" s="43"/>
      <c r="E6" s="65"/>
      <c r="F6" s="65"/>
      <c r="G6" s="43"/>
      <c r="H6" s="43"/>
      <c r="I6" s="43"/>
      <c r="J6" s="67"/>
      <c r="K6" s="67"/>
      <c r="L6" s="67"/>
      <c r="M6" s="43"/>
      <c r="N6" s="43"/>
      <c r="O6" s="43"/>
      <c r="P6" s="43"/>
      <c r="Q6" s="43"/>
      <c r="R6" s="43"/>
      <c r="S6" s="43"/>
      <c r="T6" s="43"/>
      <c r="U6" s="43"/>
      <c r="V6" s="43"/>
      <c r="W6" s="43"/>
      <c r="X6" s="43"/>
    </row>
    <row r="7" spans="1:32" x14ac:dyDescent="0.15">
      <c r="B7" s="43"/>
      <c r="C7" s="43"/>
      <c r="D7" s="43"/>
      <c r="E7" s="65"/>
      <c r="F7" s="65"/>
      <c r="G7" s="43"/>
      <c r="H7" s="43"/>
      <c r="I7" s="43"/>
      <c r="J7" s="67"/>
      <c r="K7" s="67"/>
      <c r="L7" s="67"/>
      <c r="M7" s="43"/>
      <c r="N7" s="43"/>
      <c r="O7" s="43"/>
      <c r="P7" s="43"/>
      <c r="Q7" s="43"/>
      <c r="R7" s="43"/>
      <c r="S7" s="43"/>
      <c r="T7" s="43"/>
      <c r="U7" s="43"/>
      <c r="V7" s="43"/>
      <c r="W7" s="43"/>
      <c r="X7" s="43"/>
    </row>
    <row r="8" spans="1:32" x14ac:dyDescent="0.15">
      <c r="B8" s="43"/>
      <c r="C8" s="43"/>
      <c r="D8" s="43"/>
      <c r="E8" s="65"/>
      <c r="F8" s="65"/>
      <c r="G8" s="43"/>
      <c r="H8" s="43"/>
      <c r="I8" s="43"/>
      <c r="J8" s="67"/>
      <c r="K8" s="67"/>
      <c r="L8" s="67"/>
      <c r="M8" s="43"/>
      <c r="N8" s="43"/>
      <c r="O8" s="43"/>
      <c r="P8" s="43"/>
      <c r="Q8" s="43"/>
      <c r="R8" s="43"/>
      <c r="S8" s="43"/>
      <c r="T8" s="43"/>
      <c r="U8" s="43"/>
      <c r="V8" s="43"/>
      <c r="W8" s="43"/>
      <c r="X8" s="43"/>
    </row>
    <row r="9" spans="1:32" x14ac:dyDescent="0.15">
      <c r="B9" s="43"/>
      <c r="C9" s="43"/>
      <c r="D9" s="43"/>
      <c r="E9" s="65"/>
      <c r="F9" s="65"/>
      <c r="G9" s="43"/>
      <c r="H9" s="43"/>
      <c r="I9" s="43"/>
      <c r="J9" s="67"/>
      <c r="K9" s="67"/>
      <c r="L9" s="67"/>
      <c r="M9" s="43"/>
      <c r="N9" s="43"/>
      <c r="O9" s="43"/>
      <c r="P9" s="43"/>
      <c r="Q9" s="43"/>
      <c r="R9" s="43"/>
      <c r="S9" s="43"/>
      <c r="T9" s="43"/>
      <c r="U9" s="43"/>
      <c r="V9" s="43"/>
      <c r="W9" s="43"/>
      <c r="X9" s="43"/>
    </row>
    <row r="10" spans="1:32" x14ac:dyDescent="0.15">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15">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15">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15">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
      <c r="B14" s="201" t="s">
        <v>24</v>
      </c>
      <c r="C14" s="201"/>
      <c r="D14" s="201"/>
      <c r="E14" s="201"/>
      <c r="F14" s="201"/>
      <c r="G14" s="201"/>
      <c r="H14" s="201"/>
      <c r="I14" s="201"/>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25">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209" customHeight="1" x14ac:dyDescent="0.2">
      <c r="A16" s="95" t="str">
        <f>1&amp;E16</f>
        <v>1a</v>
      </c>
      <c r="B16" s="217" t="s">
        <v>31</v>
      </c>
      <c r="C16" s="227" t="s">
        <v>32</v>
      </c>
      <c r="D16" s="214" t="s">
        <v>33</v>
      </c>
      <c r="E16" s="75" t="s">
        <v>34</v>
      </c>
      <c r="F16" s="76" t="s">
        <v>35</v>
      </c>
      <c r="G16" s="103" t="s">
        <v>38</v>
      </c>
      <c r="H16" s="104" t="s">
        <v>199</v>
      </c>
      <c r="I16" s="96" t="str">
        <f>+IF(G16="Si","Mantenimiento del control",IF(G16="En proceso","Oportunidad de mejora","Deficiencia de control"))</f>
        <v>Mantenimiento del control</v>
      </c>
      <c r="J16" s="97">
        <f t="shared" ref="J16:J27" si="0">+IF(G16="Si",20,IF(G16="En proceso",10,0))</f>
        <v>20</v>
      </c>
      <c r="K16" s="97">
        <v>0.123</v>
      </c>
      <c r="L16" s="97">
        <f>+J16+K16</f>
        <v>20.123000000000001</v>
      </c>
    </row>
    <row r="17" spans="1:32" s="46" customFormat="1" ht="209" customHeight="1" x14ac:dyDescent="0.2">
      <c r="A17" s="95" t="str">
        <f t="shared" ref="A17:A27" si="1">1&amp;E17</f>
        <v>1b</v>
      </c>
      <c r="B17" s="218"/>
      <c r="C17" s="228"/>
      <c r="D17" s="215"/>
      <c r="E17" s="77" t="s">
        <v>36</v>
      </c>
      <c r="F17" s="78" t="s">
        <v>37</v>
      </c>
      <c r="G17" s="105" t="s">
        <v>38</v>
      </c>
      <c r="H17" s="106" t="s">
        <v>200</v>
      </c>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157.5" customHeight="1" x14ac:dyDescent="0.2">
      <c r="A18" s="95" t="str">
        <f t="shared" si="1"/>
        <v>1c</v>
      </c>
      <c r="B18" s="218"/>
      <c r="C18" s="228"/>
      <c r="D18" s="215"/>
      <c r="E18" s="77" t="s">
        <v>39</v>
      </c>
      <c r="F18" s="79" t="s">
        <v>40</v>
      </c>
      <c r="G18" s="105" t="s">
        <v>38</v>
      </c>
      <c r="H18" s="107" t="s">
        <v>201</v>
      </c>
      <c r="I18" s="100" t="str">
        <f t="shared" si="2"/>
        <v>Mantenimiento del control</v>
      </c>
      <c r="J18" s="99">
        <f t="shared" si="0"/>
        <v>20</v>
      </c>
      <c r="K18" s="97">
        <v>0.12345</v>
      </c>
      <c r="L18" s="97">
        <f t="shared" si="3"/>
        <v>20.123449999999998</v>
      </c>
    </row>
    <row r="19" spans="1:32" s="46" customFormat="1" ht="213" customHeight="1" x14ac:dyDescent="0.2">
      <c r="A19" s="95" t="str">
        <f t="shared" si="1"/>
        <v>1d</v>
      </c>
      <c r="B19" s="218"/>
      <c r="C19" s="228"/>
      <c r="D19" s="215"/>
      <c r="E19" s="77" t="s">
        <v>41</v>
      </c>
      <c r="F19" s="79" t="s">
        <v>42</v>
      </c>
      <c r="G19" s="105" t="s">
        <v>38</v>
      </c>
      <c r="H19" s="107" t="s">
        <v>202</v>
      </c>
      <c r="I19" s="100" t="str">
        <f t="shared" si="2"/>
        <v>Mantenimiento del control</v>
      </c>
      <c r="J19" s="99">
        <f t="shared" si="0"/>
        <v>20</v>
      </c>
      <c r="K19" s="97">
        <v>0.123456</v>
      </c>
      <c r="L19" s="97">
        <f t="shared" si="3"/>
        <v>20.123456000000001</v>
      </c>
    </row>
    <row r="20" spans="1:32" s="46" customFormat="1" ht="197" customHeight="1" x14ac:dyDescent="0.2">
      <c r="A20" s="95" t="str">
        <f t="shared" si="1"/>
        <v>1e</v>
      </c>
      <c r="B20" s="218"/>
      <c r="C20" s="228"/>
      <c r="D20" s="215"/>
      <c r="E20" s="77" t="s">
        <v>43</v>
      </c>
      <c r="F20" s="79" t="s">
        <v>44</v>
      </c>
      <c r="G20" s="105" t="s">
        <v>38</v>
      </c>
      <c r="H20" s="107" t="s">
        <v>203</v>
      </c>
      <c r="I20" s="100" t="str">
        <f t="shared" si="2"/>
        <v>Mantenimiento del control</v>
      </c>
      <c r="J20" s="99">
        <f t="shared" si="0"/>
        <v>20</v>
      </c>
      <c r="K20" s="97">
        <v>0.12345678</v>
      </c>
      <c r="L20" s="97">
        <f t="shared" si="3"/>
        <v>20.123456780000001</v>
      </c>
    </row>
    <row r="21" spans="1:32" s="46" customFormat="1" ht="205" customHeight="1" x14ac:dyDescent="0.2">
      <c r="A21" s="95" t="str">
        <f t="shared" si="1"/>
        <v>1f</v>
      </c>
      <c r="B21" s="218"/>
      <c r="C21" s="228"/>
      <c r="D21" s="215"/>
      <c r="E21" s="77" t="s">
        <v>45</v>
      </c>
      <c r="F21" s="79" t="s">
        <v>46</v>
      </c>
      <c r="G21" s="105" t="s">
        <v>38</v>
      </c>
      <c r="H21" s="107" t="s">
        <v>204</v>
      </c>
      <c r="I21" s="100" t="str">
        <f t="shared" si="2"/>
        <v>Mantenimiento del control</v>
      </c>
      <c r="J21" s="99">
        <f t="shared" si="0"/>
        <v>20</v>
      </c>
      <c r="K21" s="97">
        <v>0.123456789</v>
      </c>
      <c r="L21" s="97">
        <f t="shared" si="3"/>
        <v>20.123456788999999</v>
      </c>
    </row>
    <row r="22" spans="1:32" s="46" customFormat="1" ht="193" customHeight="1" x14ac:dyDescent="0.2">
      <c r="A22" s="95" t="str">
        <f t="shared" si="1"/>
        <v>1g</v>
      </c>
      <c r="B22" s="218"/>
      <c r="C22" s="228"/>
      <c r="D22" s="215"/>
      <c r="E22" s="77" t="s">
        <v>47</v>
      </c>
      <c r="F22" s="79" t="s">
        <v>48</v>
      </c>
      <c r="G22" s="105" t="s">
        <v>38</v>
      </c>
      <c r="H22" s="107" t="s">
        <v>205</v>
      </c>
      <c r="I22" s="100" t="str">
        <f t="shared" si="2"/>
        <v>Mantenimiento del control</v>
      </c>
      <c r="J22" s="99">
        <f t="shared" si="0"/>
        <v>20</v>
      </c>
      <c r="K22" s="97">
        <v>0.12345678910000001</v>
      </c>
      <c r="L22" s="97">
        <f t="shared" si="3"/>
        <v>20.1234567891</v>
      </c>
    </row>
    <row r="23" spans="1:32" s="46" customFormat="1" ht="225" customHeight="1" x14ac:dyDescent="0.2">
      <c r="A23" s="95" t="str">
        <f t="shared" si="1"/>
        <v>1h</v>
      </c>
      <c r="B23" s="218"/>
      <c r="C23" s="228"/>
      <c r="D23" s="215"/>
      <c r="E23" s="77" t="s">
        <v>49</v>
      </c>
      <c r="F23" s="79" t="s">
        <v>50</v>
      </c>
      <c r="G23" s="105" t="s">
        <v>38</v>
      </c>
      <c r="H23" s="107" t="s">
        <v>206</v>
      </c>
      <c r="I23" s="100" t="str">
        <f t="shared" si="2"/>
        <v>Mantenimiento del control</v>
      </c>
      <c r="J23" s="99">
        <f t="shared" si="0"/>
        <v>20</v>
      </c>
      <c r="K23" s="97">
        <v>0.12345678911999999</v>
      </c>
      <c r="L23" s="97">
        <f t="shared" si="3"/>
        <v>20.123456789119999</v>
      </c>
    </row>
    <row r="24" spans="1:32" s="46" customFormat="1" ht="202" customHeight="1" x14ac:dyDescent="0.2">
      <c r="A24" s="95" t="str">
        <f t="shared" si="1"/>
        <v>1i</v>
      </c>
      <c r="B24" s="218"/>
      <c r="C24" s="228"/>
      <c r="D24" s="215"/>
      <c r="E24" s="77" t="s">
        <v>51</v>
      </c>
      <c r="F24" s="79" t="s">
        <v>52</v>
      </c>
      <c r="G24" s="105" t="s">
        <v>38</v>
      </c>
      <c r="H24" s="107" t="s">
        <v>207</v>
      </c>
      <c r="I24" s="100" t="str">
        <f t="shared" si="2"/>
        <v>Mantenimiento del control</v>
      </c>
      <c r="J24" s="99">
        <f t="shared" si="0"/>
        <v>20</v>
      </c>
      <c r="K24" s="97">
        <v>0.123456789123</v>
      </c>
      <c r="L24" s="97">
        <f t="shared" si="3"/>
        <v>20.123456789123001</v>
      </c>
    </row>
    <row r="25" spans="1:32" s="46" customFormat="1" ht="208" customHeight="1" x14ac:dyDescent="0.2">
      <c r="A25" s="95" t="str">
        <f t="shared" si="1"/>
        <v>1j</v>
      </c>
      <c r="B25" s="218"/>
      <c r="C25" s="228"/>
      <c r="D25" s="215"/>
      <c r="E25" s="77" t="s">
        <v>53</v>
      </c>
      <c r="F25" s="79" t="s">
        <v>54</v>
      </c>
      <c r="G25" s="105" t="s">
        <v>38</v>
      </c>
      <c r="H25" s="107" t="s">
        <v>208</v>
      </c>
      <c r="I25" s="100" t="str">
        <f t="shared" si="2"/>
        <v>Mantenimiento del control</v>
      </c>
      <c r="J25" s="99">
        <f t="shared" si="0"/>
        <v>20</v>
      </c>
      <c r="K25" s="97">
        <v>0.1234567891234</v>
      </c>
      <c r="L25" s="97">
        <f t="shared" si="3"/>
        <v>20.123456789123399</v>
      </c>
    </row>
    <row r="26" spans="1:32" s="46" customFormat="1" ht="201" customHeight="1" x14ac:dyDescent="0.2">
      <c r="A26" s="95" t="str">
        <f t="shared" si="1"/>
        <v>1k</v>
      </c>
      <c r="B26" s="218"/>
      <c r="C26" s="228"/>
      <c r="D26" s="215"/>
      <c r="E26" s="77" t="s">
        <v>55</v>
      </c>
      <c r="F26" s="79" t="s">
        <v>56</v>
      </c>
      <c r="G26" s="105" t="s">
        <v>38</v>
      </c>
      <c r="H26" s="107" t="s">
        <v>209</v>
      </c>
      <c r="I26" s="100" t="str">
        <f t="shared" si="2"/>
        <v>Mantenimiento del control</v>
      </c>
      <c r="J26" s="99">
        <f t="shared" si="0"/>
        <v>20</v>
      </c>
      <c r="K26" s="97">
        <v>0.12345678912345</v>
      </c>
      <c r="L26" s="97">
        <f t="shared" si="3"/>
        <v>20.123456789123448</v>
      </c>
    </row>
    <row r="27" spans="1:32" s="46" customFormat="1" ht="186" customHeight="1" thickBot="1" x14ac:dyDescent="0.25">
      <c r="A27" s="95" t="str">
        <f t="shared" si="1"/>
        <v>1l</v>
      </c>
      <c r="B27" s="219"/>
      <c r="C27" s="229"/>
      <c r="D27" s="216"/>
      <c r="E27" s="80" t="s">
        <v>57</v>
      </c>
      <c r="F27" s="81" t="s">
        <v>58</v>
      </c>
      <c r="G27" s="108" t="s">
        <v>38</v>
      </c>
      <c r="H27" s="109" t="s">
        <v>210</v>
      </c>
      <c r="I27" s="101" t="str">
        <f t="shared" si="2"/>
        <v>Mantenimiento del control</v>
      </c>
      <c r="J27" s="99">
        <f t="shared" si="0"/>
        <v>20</v>
      </c>
      <c r="K27" s="97">
        <v>0.12345678912345601</v>
      </c>
      <c r="L27" s="97">
        <f t="shared" si="3"/>
        <v>20.123456789123455</v>
      </c>
    </row>
    <row r="28" spans="1:32" s="46" customFormat="1" ht="174" customHeight="1" x14ac:dyDescent="0.2">
      <c r="A28" s="95" t="str">
        <f>2&amp;E28</f>
        <v>2a</v>
      </c>
      <c r="B28" s="220" t="s">
        <v>59</v>
      </c>
      <c r="C28" s="230" t="s">
        <v>60</v>
      </c>
      <c r="D28" s="223" t="s">
        <v>61</v>
      </c>
      <c r="E28" s="75" t="s">
        <v>34</v>
      </c>
      <c r="F28" s="76" t="s">
        <v>62</v>
      </c>
      <c r="G28" s="103" t="s">
        <v>38</v>
      </c>
      <c r="H28" s="104" t="s">
        <v>211</v>
      </c>
      <c r="I28" s="96" t="str">
        <f t="shared" si="2"/>
        <v>Mantenimiento del control</v>
      </c>
      <c r="J28" s="97">
        <f>+IF(G28="Si",40,IF(G28="En proceso",30,20))</f>
        <v>40</v>
      </c>
      <c r="K28" s="97">
        <v>0.23</v>
      </c>
      <c r="L28" s="97">
        <f t="shared" si="3"/>
        <v>40.229999999999997</v>
      </c>
    </row>
    <row r="29" spans="1:32" s="46" customFormat="1" ht="232" customHeight="1" x14ac:dyDescent="0.2">
      <c r="A29" s="95" t="str">
        <f t="shared" ref="A29:A31" si="4">2&amp;E29</f>
        <v>2b</v>
      </c>
      <c r="B29" s="221"/>
      <c r="C29" s="231"/>
      <c r="D29" s="224"/>
      <c r="E29" s="77" t="s">
        <v>36</v>
      </c>
      <c r="F29" s="79" t="s">
        <v>63</v>
      </c>
      <c r="G29" s="105" t="s">
        <v>38</v>
      </c>
      <c r="H29" s="107" t="s">
        <v>212</v>
      </c>
      <c r="I29" s="100" t="str">
        <f t="shared" si="2"/>
        <v>Mantenimiento del control</v>
      </c>
      <c r="J29" s="97">
        <f>+IF(G29="Si",40,IF(G29="En proceso",30,20))</f>
        <v>40</v>
      </c>
      <c r="K29" s="97">
        <v>0.23400000000000001</v>
      </c>
      <c r="L29" s="97">
        <f t="shared" si="3"/>
        <v>40.234000000000002</v>
      </c>
    </row>
    <row r="30" spans="1:32" s="46" customFormat="1" ht="185" customHeight="1" x14ac:dyDescent="0.2">
      <c r="A30" s="95" t="str">
        <f t="shared" si="4"/>
        <v>2c</v>
      </c>
      <c r="B30" s="221"/>
      <c r="C30" s="231"/>
      <c r="D30" s="224"/>
      <c r="E30" s="77" t="s">
        <v>39</v>
      </c>
      <c r="F30" s="79" t="s">
        <v>64</v>
      </c>
      <c r="G30" s="105" t="s">
        <v>38</v>
      </c>
      <c r="H30" s="107" t="s">
        <v>213</v>
      </c>
      <c r="I30" s="100" t="str">
        <f t="shared" si="2"/>
        <v>Mantenimiento del control</v>
      </c>
      <c r="J30" s="97">
        <f>+IF(G30="Si",40,IF(G30="En proceso",30,20))</f>
        <v>40</v>
      </c>
      <c r="K30" s="97">
        <v>0.23449999999999999</v>
      </c>
      <c r="L30" s="97">
        <f t="shared" si="3"/>
        <v>40.234499999999997</v>
      </c>
    </row>
    <row r="31" spans="1:32" s="46" customFormat="1" ht="194" customHeight="1" thickBot="1" x14ac:dyDescent="0.25">
      <c r="A31" s="95" t="str">
        <f t="shared" si="4"/>
        <v>2d</v>
      </c>
      <c r="B31" s="222"/>
      <c r="C31" s="232"/>
      <c r="D31" s="225"/>
      <c r="E31" s="80" t="s">
        <v>41</v>
      </c>
      <c r="F31" s="81" t="s">
        <v>65</v>
      </c>
      <c r="G31" s="108" t="s">
        <v>38</v>
      </c>
      <c r="H31" s="109" t="s">
        <v>214</v>
      </c>
      <c r="I31" s="101" t="str">
        <f t="shared" si="2"/>
        <v>Mantenimiento del control</v>
      </c>
      <c r="J31" s="97">
        <f>+IF(G31="Si",40,IF(G31="En proceso",30,20))</f>
        <v>40</v>
      </c>
      <c r="K31" s="97">
        <v>0.23455999999999999</v>
      </c>
      <c r="L31" s="97">
        <f t="shared" si="3"/>
        <v>40.234560000000002</v>
      </c>
    </row>
    <row r="32" spans="1:32" s="46" customFormat="1" ht="205" customHeight="1" x14ac:dyDescent="0.2">
      <c r="A32" s="95" t="str">
        <f>3&amp;E32</f>
        <v>3a</v>
      </c>
      <c r="B32" s="242" t="s">
        <v>66</v>
      </c>
      <c r="C32" s="242" t="s">
        <v>60</v>
      </c>
      <c r="D32" s="243" t="s">
        <v>67</v>
      </c>
      <c r="E32" s="77" t="s">
        <v>34</v>
      </c>
      <c r="F32" s="79" t="s">
        <v>68</v>
      </c>
      <c r="G32" s="105" t="s">
        <v>38</v>
      </c>
      <c r="H32" s="107" t="s">
        <v>215</v>
      </c>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212" customHeight="1" x14ac:dyDescent="0.2">
      <c r="A33" s="95" t="str">
        <f t="shared" ref="A33:A34" si="7">3&amp;E33</f>
        <v>3b</v>
      </c>
      <c r="B33" s="242"/>
      <c r="C33" s="242"/>
      <c r="D33" s="243"/>
      <c r="E33" s="77" t="s">
        <v>36</v>
      </c>
      <c r="F33" s="79" t="s">
        <v>69</v>
      </c>
      <c r="G33" s="105" t="s">
        <v>38</v>
      </c>
      <c r="H33" s="107" t="s">
        <v>216</v>
      </c>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231" customHeight="1" thickBot="1" x14ac:dyDescent="0.25">
      <c r="A34" s="95" t="str">
        <f t="shared" si="7"/>
        <v>3c</v>
      </c>
      <c r="B34" s="242"/>
      <c r="C34" s="242"/>
      <c r="D34" s="243"/>
      <c r="E34" s="77" t="s">
        <v>39</v>
      </c>
      <c r="F34" s="79" t="s">
        <v>70</v>
      </c>
      <c r="G34" s="105" t="s">
        <v>38</v>
      </c>
      <c r="H34" s="107" t="s">
        <v>217</v>
      </c>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199" customHeight="1" x14ac:dyDescent="0.2">
      <c r="A35" s="95" t="str">
        <f>4&amp;E35</f>
        <v>4a</v>
      </c>
      <c r="B35" s="244" t="s">
        <v>71</v>
      </c>
      <c r="C35" s="231" t="s">
        <v>60</v>
      </c>
      <c r="D35" s="224" t="s">
        <v>72</v>
      </c>
      <c r="E35" s="75" t="s">
        <v>34</v>
      </c>
      <c r="F35" s="76" t="s">
        <v>73</v>
      </c>
      <c r="G35" s="103" t="s">
        <v>38</v>
      </c>
      <c r="H35" s="104" t="s">
        <v>218</v>
      </c>
      <c r="I35" s="96" t="str">
        <f t="shared" si="2"/>
        <v>Mantenimiento del control</v>
      </c>
      <c r="J35" s="97">
        <f t="shared" si="5"/>
        <v>40</v>
      </c>
      <c r="K35" s="102">
        <v>0.23456789119999999</v>
      </c>
      <c r="L35" s="97">
        <f t="shared" si="6"/>
        <v>40.234567891200001</v>
      </c>
      <c r="M35" s="45"/>
      <c r="N35" s="45"/>
      <c r="O35" s="45"/>
      <c r="P35" s="45"/>
      <c r="Q35" s="45"/>
    </row>
    <row r="36" spans="1:32" s="46" customFormat="1" ht="188" customHeight="1" x14ac:dyDescent="0.2">
      <c r="A36" s="95" t="str">
        <f t="shared" ref="A36:A37" si="8">4&amp;E36</f>
        <v>4b</v>
      </c>
      <c r="B36" s="244"/>
      <c r="C36" s="231"/>
      <c r="D36" s="224"/>
      <c r="E36" s="77" t="s">
        <v>36</v>
      </c>
      <c r="F36" s="79" t="s">
        <v>74</v>
      </c>
      <c r="G36" s="105" t="s">
        <v>75</v>
      </c>
      <c r="H36" s="107" t="s">
        <v>219</v>
      </c>
      <c r="I36" s="100" t="str">
        <f t="shared" si="2"/>
        <v>Oportunidad de mejora</v>
      </c>
      <c r="J36" s="97">
        <f t="shared" si="5"/>
        <v>30</v>
      </c>
      <c r="K36" s="102">
        <v>0.23456789122999999</v>
      </c>
      <c r="L36" s="97">
        <f t="shared" si="6"/>
        <v>30.23456789123</v>
      </c>
      <c r="M36" s="45"/>
      <c r="N36" s="45"/>
      <c r="O36" s="45"/>
      <c r="P36" s="45"/>
      <c r="Q36" s="45"/>
    </row>
    <row r="37" spans="1:32" s="46" customFormat="1" ht="209" customHeight="1" thickBot="1" x14ac:dyDescent="0.25">
      <c r="A37" s="95" t="str">
        <f t="shared" si="8"/>
        <v>4c</v>
      </c>
      <c r="B37" s="244"/>
      <c r="C37" s="231"/>
      <c r="D37" s="224"/>
      <c r="E37" s="77" t="s">
        <v>39</v>
      </c>
      <c r="F37" s="79" t="s">
        <v>76</v>
      </c>
      <c r="G37" s="105" t="s">
        <v>38</v>
      </c>
      <c r="H37" s="107" t="s">
        <v>220</v>
      </c>
      <c r="I37" s="100" t="str">
        <f t="shared" si="2"/>
        <v>Mantenimiento del control</v>
      </c>
      <c r="J37" s="97">
        <f t="shared" si="5"/>
        <v>40</v>
      </c>
      <c r="K37" s="102">
        <v>0.23456789123399999</v>
      </c>
      <c r="L37" s="97">
        <f t="shared" si="6"/>
        <v>40.234567891234001</v>
      </c>
      <c r="M37" s="45"/>
      <c r="N37" s="45"/>
      <c r="O37" s="45"/>
      <c r="P37" s="45"/>
      <c r="Q37" s="45"/>
    </row>
    <row r="38" spans="1:32" s="46" customFormat="1" ht="198" customHeight="1" x14ac:dyDescent="0.2">
      <c r="A38" s="95" t="str">
        <f>5&amp;E38</f>
        <v>5a</v>
      </c>
      <c r="B38" s="245" t="s">
        <v>77</v>
      </c>
      <c r="C38" s="233" t="s">
        <v>78</v>
      </c>
      <c r="D38" s="248" t="s">
        <v>79</v>
      </c>
      <c r="E38" s="75" t="s">
        <v>34</v>
      </c>
      <c r="F38" s="76" t="s">
        <v>80</v>
      </c>
      <c r="G38" s="103" t="s">
        <v>38</v>
      </c>
      <c r="H38" s="104" t="s">
        <v>221</v>
      </c>
      <c r="I38" s="96" t="str">
        <f t="shared" si="2"/>
        <v>Mantenimiento del control</v>
      </c>
      <c r="J38" s="97">
        <f>+IF(G38="Si",60,IF(G38="En proceso",50,40))</f>
        <v>60</v>
      </c>
      <c r="K38" s="97">
        <v>0.31</v>
      </c>
      <c r="L38" s="97">
        <f t="shared" si="3"/>
        <v>60.31</v>
      </c>
    </row>
    <row r="39" spans="1:32" s="46" customFormat="1" ht="229" customHeight="1" x14ac:dyDescent="0.2">
      <c r="A39" s="95" t="str">
        <f t="shared" ref="A39:A42" si="9">5&amp;E39</f>
        <v>5b</v>
      </c>
      <c r="B39" s="246"/>
      <c r="C39" s="234"/>
      <c r="D39" s="249"/>
      <c r="E39" s="77" t="s">
        <v>36</v>
      </c>
      <c r="F39" s="79" t="s">
        <v>81</v>
      </c>
      <c r="G39" s="105" t="s">
        <v>38</v>
      </c>
      <c r="H39" s="107" t="s">
        <v>222</v>
      </c>
      <c r="I39" s="100" t="str">
        <f t="shared" si="2"/>
        <v>Mantenimiento del control</v>
      </c>
      <c r="J39" s="97">
        <f>+IF(G39="Si",60,IF(G39="En proceso",50,40))</f>
        <v>60</v>
      </c>
      <c r="K39" s="97">
        <v>0.32300000000000001</v>
      </c>
      <c r="L39" s="97">
        <f t="shared" si="3"/>
        <v>60.323</v>
      </c>
    </row>
    <row r="40" spans="1:32" s="46" customFormat="1" ht="229" customHeight="1" x14ac:dyDescent="0.2">
      <c r="A40" s="95" t="str">
        <f t="shared" si="9"/>
        <v>5c</v>
      </c>
      <c r="B40" s="246"/>
      <c r="C40" s="234"/>
      <c r="D40" s="249"/>
      <c r="E40" s="77" t="s">
        <v>39</v>
      </c>
      <c r="F40" s="79" t="s">
        <v>82</v>
      </c>
      <c r="G40" s="105" t="s">
        <v>38</v>
      </c>
      <c r="H40" s="107" t="s">
        <v>223</v>
      </c>
      <c r="I40" s="100" t="str">
        <f t="shared" si="2"/>
        <v>Mantenimiento del control</v>
      </c>
      <c r="J40" s="97">
        <f>+IF(G40="Si",60,IF(G40="En proceso",50,40))</f>
        <v>60</v>
      </c>
      <c r="K40" s="97">
        <v>0.32400000000000001</v>
      </c>
      <c r="L40" s="97">
        <f t="shared" si="3"/>
        <v>60.323999999999998</v>
      </c>
    </row>
    <row r="41" spans="1:32" s="46" customFormat="1" ht="210" x14ac:dyDescent="0.2">
      <c r="A41" s="95" t="str">
        <f t="shared" si="9"/>
        <v>5d</v>
      </c>
      <c r="B41" s="246"/>
      <c r="C41" s="234"/>
      <c r="D41" s="249"/>
      <c r="E41" s="77" t="s">
        <v>41</v>
      </c>
      <c r="F41" s="79" t="s">
        <v>83</v>
      </c>
      <c r="G41" s="105" t="s">
        <v>38</v>
      </c>
      <c r="H41" s="107" t="s">
        <v>224</v>
      </c>
      <c r="I41" s="100" t="str">
        <f t="shared" si="2"/>
        <v>Mantenimiento del control</v>
      </c>
      <c r="J41" s="97">
        <f>+IF(G41="Si",60,IF(G41="En proceso",50,40))</f>
        <v>60</v>
      </c>
      <c r="K41" s="97">
        <v>0.32500000000000001</v>
      </c>
      <c r="L41" s="97">
        <f t="shared" si="3"/>
        <v>60.325000000000003</v>
      </c>
    </row>
    <row r="42" spans="1:32" s="46" customFormat="1" ht="271" thickBot="1" x14ac:dyDescent="0.25">
      <c r="A42" s="95" t="str">
        <f t="shared" si="9"/>
        <v>5e</v>
      </c>
      <c r="B42" s="247"/>
      <c r="C42" s="235"/>
      <c r="D42" s="250"/>
      <c r="E42" s="80" t="s">
        <v>43</v>
      </c>
      <c r="F42" s="81" t="s">
        <v>84</v>
      </c>
      <c r="G42" s="108" t="s">
        <v>38</v>
      </c>
      <c r="H42" s="109" t="s">
        <v>225</v>
      </c>
      <c r="I42" s="101" t="str">
        <f t="shared" si="2"/>
        <v>Mantenimiento del control</v>
      </c>
      <c r="J42" s="97">
        <f>+IF(G42="Si",60,IF(G42="En proceso",50,40))</f>
        <v>60</v>
      </c>
      <c r="K42" s="97">
        <v>0.32600000000000001</v>
      </c>
      <c r="L42" s="97">
        <f t="shared" si="3"/>
        <v>60.326000000000001</v>
      </c>
    </row>
    <row r="43" spans="1:32" s="46" customFormat="1" ht="290" customHeight="1" thickBot="1" x14ac:dyDescent="0.25">
      <c r="A43" s="95" t="str">
        <f>6&amp;E43</f>
        <v>6a</v>
      </c>
      <c r="B43" s="205" t="s">
        <v>85</v>
      </c>
      <c r="C43" s="236" t="s">
        <v>86</v>
      </c>
      <c r="D43" s="202" t="s">
        <v>87</v>
      </c>
      <c r="E43" s="75" t="s">
        <v>34</v>
      </c>
      <c r="F43" s="76" t="s">
        <v>88</v>
      </c>
      <c r="G43" s="103" t="s">
        <v>38</v>
      </c>
      <c r="H43" s="109" t="s">
        <v>226</v>
      </c>
      <c r="I43" s="96" t="str">
        <f t="shared" si="2"/>
        <v>Mantenimiento del control</v>
      </c>
      <c r="J43" s="97">
        <f t="shared" ref="J43:J49" si="10">+IF(G43="Si",80,IF(G43="En proceso",70,60))</f>
        <v>80</v>
      </c>
      <c r="K43" s="97">
        <v>0.41199999999999998</v>
      </c>
      <c r="L43" s="97">
        <f t="shared" si="3"/>
        <v>80.412000000000006</v>
      </c>
    </row>
    <row r="44" spans="1:32" s="46" customFormat="1" ht="289" customHeight="1" x14ac:dyDescent="0.2">
      <c r="A44" s="95" t="str">
        <f t="shared" ref="A44:A49" si="11">6&amp;E44</f>
        <v>6b</v>
      </c>
      <c r="B44" s="206"/>
      <c r="C44" s="237"/>
      <c r="D44" s="203"/>
      <c r="E44" s="77" t="s">
        <v>36</v>
      </c>
      <c r="F44" s="79" t="s">
        <v>89</v>
      </c>
      <c r="G44" s="105" t="s">
        <v>38</v>
      </c>
      <c r="H44" s="107" t="s">
        <v>227</v>
      </c>
      <c r="I44" s="100" t="str">
        <f t="shared" si="2"/>
        <v>Mantenimiento del control</v>
      </c>
      <c r="J44" s="97">
        <f t="shared" si="10"/>
        <v>80</v>
      </c>
      <c r="K44" s="97">
        <v>0.4123</v>
      </c>
      <c r="L44" s="97">
        <f t="shared" si="3"/>
        <v>80.412300000000002</v>
      </c>
    </row>
    <row r="45" spans="1:32" s="46" customFormat="1" ht="285" x14ac:dyDescent="0.2">
      <c r="A45" s="95" t="str">
        <f t="shared" si="11"/>
        <v>6c</v>
      </c>
      <c r="B45" s="206"/>
      <c r="C45" s="237"/>
      <c r="D45" s="203"/>
      <c r="E45" s="77" t="s">
        <v>39</v>
      </c>
      <c r="F45" s="79" t="s">
        <v>90</v>
      </c>
      <c r="G45" s="105" t="s">
        <v>38</v>
      </c>
      <c r="H45" s="107" t="s">
        <v>228</v>
      </c>
      <c r="I45" s="100" t="str">
        <f t="shared" si="2"/>
        <v>Mantenimiento del control</v>
      </c>
      <c r="J45" s="97">
        <f t="shared" si="10"/>
        <v>80</v>
      </c>
      <c r="K45" s="97">
        <v>0.41233999999999998</v>
      </c>
      <c r="L45" s="97">
        <f t="shared" si="3"/>
        <v>80.41234</v>
      </c>
    </row>
    <row r="46" spans="1:32" s="46" customFormat="1" ht="273" customHeight="1" x14ac:dyDescent="0.2">
      <c r="A46" s="95" t="str">
        <f t="shared" si="11"/>
        <v>6d</v>
      </c>
      <c r="B46" s="206"/>
      <c r="C46" s="237"/>
      <c r="D46" s="203"/>
      <c r="E46" s="77" t="s">
        <v>41</v>
      </c>
      <c r="F46" s="79" t="s">
        <v>91</v>
      </c>
      <c r="G46" s="105" t="s">
        <v>38</v>
      </c>
      <c r="H46" s="107" t="s">
        <v>229</v>
      </c>
      <c r="I46" s="100" t="str">
        <f t="shared" si="2"/>
        <v>Mantenimiento del control</v>
      </c>
      <c r="J46" s="97">
        <f t="shared" si="10"/>
        <v>80</v>
      </c>
      <c r="K46" s="97">
        <v>0.41234500000000002</v>
      </c>
      <c r="L46" s="97">
        <f t="shared" si="3"/>
        <v>80.412345000000002</v>
      </c>
    </row>
    <row r="47" spans="1:32" s="46" customFormat="1" ht="180" x14ac:dyDescent="0.2">
      <c r="A47" s="95" t="str">
        <f t="shared" si="11"/>
        <v>6e</v>
      </c>
      <c r="B47" s="206"/>
      <c r="C47" s="237"/>
      <c r="D47" s="203"/>
      <c r="E47" s="77" t="s">
        <v>43</v>
      </c>
      <c r="F47" s="79" t="s">
        <v>92</v>
      </c>
      <c r="G47" s="105" t="s">
        <v>75</v>
      </c>
      <c r="H47" s="107" t="s">
        <v>230</v>
      </c>
      <c r="I47" s="100" t="str">
        <f t="shared" si="2"/>
        <v>Oportunidad de mejora</v>
      </c>
      <c r="J47" s="97">
        <f t="shared" si="10"/>
        <v>70</v>
      </c>
      <c r="K47" s="97">
        <v>0.41234559999999998</v>
      </c>
      <c r="L47" s="97">
        <f t="shared" si="3"/>
        <v>70.412345599999995</v>
      </c>
    </row>
    <row r="48" spans="1:32" s="46" customFormat="1" ht="240" x14ac:dyDescent="0.2">
      <c r="A48" s="95" t="str">
        <f t="shared" si="11"/>
        <v>6f</v>
      </c>
      <c r="B48" s="206"/>
      <c r="C48" s="237"/>
      <c r="D48" s="203"/>
      <c r="E48" s="77" t="s">
        <v>45</v>
      </c>
      <c r="F48" s="79" t="s">
        <v>93</v>
      </c>
      <c r="G48" s="105" t="s">
        <v>75</v>
      </c>
      <c r="H48" s="107" t="s">
        <v>231</v>
      </c>
      <c r="I48" s="100" t="str">
        <f t="shared" si="2"/>
        <v>Oportunidad de mejora</v>
      </c>
      <c r="J48" s="97">
        <f t="shared" si="10"/>
        <v>70</v>
      </c>
      <c r="K48" s="97">
        <v>0.41234567</v>
      </c>
      <c r="L48" s="97">
        <f t="shared" si="3"/>
        <v>70.412345669999993</v>
      </c>
    </row>
    <row r="49" spans="1:17" s="46" customFormat="1" ht="181" thickBot="1" x14ac:dyDescent="0.25">
      <c r="A49" s="95" t="str">
        <f t="shared" si="11"/>
        <v>6g</v>
      </c>
      <c r="B49" s="207"/>
      <c r="C49" s="238"/>
      <c r="D49" s="204"/>
      <c r="E49" s="80" t="s">
        <v>47</v>
      </c>
      <c r="F49" s="81" t="s">
        <v>94</v>
      </c>
      <c r="G49" s="108" t="s">
        <v>75</v>
      </c>
      <c r="H49" s="109" t="s">
        <v>232</v>
      </c>
      <c r="I49" s="101" t="str">
        <f t="shared" si="2"/>
        <v>Oportunidad de mejora</v>
      </c>
      <c r="J49" s="97">
        <f t="shared" si="10"/>
        <v>70</v>
      </c>
      <c r="K49" s="97">
        <v>0.41234567799999999</v>
      </c>
      <c r="L49" s="97">
        <f t="shared" si="3"/>
        <v>70.412345677999994</v>
      </c>
    </row>
    <row r="50" spans="1:17" s="46" customFormat="1" ht="248" customHeight="1" x14ac:dyDescent="0.2">
      <c r="A50" s="95" t="str">
        <f>7&amp;E50</f>
        <v>7a</v>
      </c>
      <c r="B50" s="211" t="s">
        <v>95</v>
      </c>
      <c r="C50" s="239" t="s">
        <v>96</v>
      </c>
      <c r="D50" s="208" t="s">
        <v>97</v>
      </c>
      <c r="E50" s="75" t="s">
        <v>34</v>
      </c>
      <c r="F50" s="76" t="s">
        <v>98</v>
      </c>
      <c r="G50" s="103" t="s">
        <v>38</v>
      </c>
      <c r="H50" s="104" t="s">
        <v>233</v>
      </c>
      <c r="I50" s="96" t="str">
        <f t="shared" si="2"/>
        <v>Mantenimiento del control</v>
      </c>
      <c r="J50" s="97">
        <f>+IF(G50="Si",120,IF(G50="En proceso",100,80))</f>
        <v>120</v>
      </c>
      <c r="K50" s="97">
        <v>0.85099999999999998</v>
      </c>
      <c r="L50" s="97">
        <f t="shared" si="3"/>
        <v>120.851</v>
      </c>
    </row>
    <row r="51" spans="1:17" s="46" customFormat="1" ht="225" x14ac:dyDescent="0.2">
      <c r="A51" s="95" t="str">
        <f t="shared" ref="A51:A53" si="12">7&amp;E51</f>
        <v>7d</v>
      </c>
      <c r="B51" s="212"/>
      <c r="C51" s="240"/>
      <c r="D51" s="209"/>
      <c r="E51" s="77" t="s">
        <v>41</v>
      </c>
      <c r="F51" s="79" t="s">
        <v>99</v>
      </c>
      <c r="G51" s="105" t="s">
        <v>38</v>
      </c>
      <c r="H51" s="107" t="s">
        <v>234</v>
      </c>
      <c r="I51" s="100" t="str">
        <f t="shared" si="2"/>
        <v>Mantenimiento del control</v>
      </c>
      <c r="J51" s="97">
        <f t="shared" ref="J51:J59" si="13">+IF(G51="Si",120,IF(G51="En proceso",100,80))</f>
        <v>120</v>
      </c>
      <c r="K51" s="97">
        <v>0.85119999999999996</v>
      </c>
      <c r="L51" s="97">
        <f t="shared" si="3"/>
        <v>120.85120000000001</v>
      </c>
    </row>
    <row r="52" spans="1:17" s="46" customFormat="1" ht="225" x14ac:dyDescent="0.2">
      <c r="A52" s="95" t="str">
        <f t="shared" si="12"/>
        <v>7f</v>
      </c>
      <c r="B52" s="212"/>
      <c r="C52" s="240"/>
      <c r="D52" s="209"/>
      <c r="E52" s="77" t="s">
        <v>45</v>
      </c>
      <c r="F52" s="79" t="s">
        <v>100</v>
      </c>
      <c r="G52" s="105" t="s">
        <v>38</v>
      </c>
      <c r="H52" s="107" t="s">
        <v>235</v>
      </c>
      <c r="I52" s="100" t="str">
        <f t="shared" si="2"/>
        <v>Mantenimiento del control</v>
      </c>
      <c r="J52" s="97">
        <f t="shared" si="13"/>
        <v>120</v>
      </c>
      <c r="K52" s="97">
        <v>0.85123000000000004</v>
      </c>
      <c r="L52" s="97">
        <f t="shared" si="3"/>
        <v>120.85123</v>
      </c>
    </row>
    <row r="53" spans="1:17" s="46" customFormat="1" ht="211" thickBot="1" x14ac:dyDescent="0.25">
      <c r="A53" s="95" t="str">
        <f t="shared" si="12"/>
        <v>7g</v>
      </c>
      <c r="B53" s="213"/>
      <c r="C53" s="241"/>
      <c r="D53" s="210"/>
      <c r="E53" s="80" t="s">
        <v>47</v>
      </c>
      <c r="F53" s="81" t="s">
        <v>101</v>
      </c>
      <c r="G53" s="108" t="s">
        <v>38</v>
      </c>
      <c r="H53" s="109" t="s">
        <v>236</v>
      </c>
      <c r="I53" s="101" t="str">
        <f t="shared" si="2"/>
        <v>Mantenimiento del control</v>
      </c>
      <c r="J53" s="97">
        <f t="shared" si="13"/>
        <v>120</v>
      </c>
      <c r="K53" s="97">
        <v>0.85123400000000005</v>
      </c>
      <c r="L53" s="97">
        <f t="shared" si="3"/>
        <v>120.85123400000001</v>
      </c>
    </row>
    <row r="54" spans="1:17" s="46" customFormat="1" ht="226" customHeight="1" thickBot="1" x14ac:dyDescent="0.25">
      <c r="A54" s="95" t="str">
        <f>8&amp;E54</f>
        <v>8h</v>
      </c>
      <c r="B54" s="150" t="s">
        <v>102</v>
      </c>
      <c r="C54" s="151" t="s">
        <v>96</v>
      </c>
      <c r="D54" s="70" t="s">
        <v>103</v>
      </c>
      <c r="E54" s="75" t="s">
        <v>49</v>
      </c>
      <c r="F54" s="76" t="s">
        <v>104</v>
      </c>
      <c r="G54" s="103" t="s">
        <v>38</v>
      </c>
      <c r="H54" s="104" t="s">
        <v>237</v>
      </c>
      <c r="I54" s="96" t="str">
        <f t="shared" si="2"/>
        <v>Mantenimiento del control</v>
      </c>
      <c r="J54" s="97">
        <f t="shared" si="13"/>
        <v>120</v>
      </c>
      <c r="K54" s="97">
        <v>0.85123450000000001</v>
      </c>
      <c r="L54" s="97">
        <f t="shared" si="3"/>
        <v>120.8512345</v>
      </c>
    </row>
    <row r="55" spans="1:17" s="46" customFormat="1" ht="252" customHeight="1" x14ac:dyDescent="0.2">
      <c r="A55" s="95" t="str">
        <f>9&amp;E55</f>
        <v>9a</v>
      </c>
      <c r="B55" s="211" t="s">
        <v>105</v>
      </c>
      <c r="C55" s="239" t="s">
        <v>96</v>
      </c>
      <c r="D55" s="208" t="s">
        <v>106</v>
      </c>
      <c r="E55" s="75" t="s">
        <v>34</v>
      </c>
      <c r="F55" s="76" t="s">
        <v>107</v>
      </c>
      <c r="G55" s="103" t="s">
        <v>38</v>
      </c>
      <c r="H55" s="104" t="s">
        <v>238</v>
      </c>
      <c r="I55" s="96" t="str">
        <f t="shared" si="2"/>
        <v>Mantenimiento del control</v>
      </c>
      <c r="J55" s="97">
        <f t="shared" si="13"/>
        <v>120</v>
      </c>
      <c r="K55" s="102">
        <v>0.85123455999999997</v>
      </c>
      <c r="L55" s="97">
        <f t="shared" si="3"/>
        <v>120.85123455999999</v>
      </c>
      <c r="M55" s="45"/>
      <c r="N55" s="45"/>
      <c r="O55" s="45"/>
      <c r="P55" s="45"/>
      <c r="Q55" s="45"/>
    </row>
    <row r="56" spans="1:17" s="46" customFormat="1" ht="193" customHeight="1" x14ac:dyDescent="0.2">
      <c r="A56" s="95" t="str">
        <f t="shared" ref="A56:A59" si="14">9&amp;E56</f>
        <v>9b</v>
      </c>
      <c r="B56" s="212"/>
      <c r="C56" s="240"/>
      <c r="D56" s="209"/>
      <c r="E56" s="77" t="s">
        <v>36</v>
      </c>
      <c r="F56" s="79" t="s">
        <v>108</v>
      </c>
      <c r="G56" s="105" t="s">
        <v>75</v>
      </c>
      <c r="H56" s="107" t="s">
        <v>239</v>
      </c>
      <c r="I56" s="100" t="str">
        <f t="shared" si="2"/>
        <v>Oportunidad de mejora</v>
      </c>
      <c r="J56" s="97">
        <f t="shared" si="13"/>
        <v>100</v>
      </c>
      <c r="K56" s="102">
        <v>0.851234567</v>
      </c>
      <c r="L56" s="97">
        <f t="shared" si="3"/>
        <v>100.85123456700001</v>
      </c>
      <c r="M56" s="45"/>
      <c r="N56" s="45"/>
      <c r="O56" s="45"/>
      <c r="P56" s="45"/>
      <c r="Q56" s="45"/>
    </row>
    <row r="57" spans="1:17" s="46" customFormat="1" ht="215" customHeight="1" x14ac:dyDescent="0.2">
      <c r="A57" s="95" t="str">
        <f t="shared" si="14"/>
        <v>9c</v>
      </c>
      <c r="B57" s="212"/>
      <c r="C57" s="240"/>
      <c r="D57" s="209"/>
      <c r="E57" s="77" t="s">
        <v>39</v>
      </c>
      <c r="F57" s="79" t="s">
        <v>109</v>
      </c>
      <c r="G57" s="105" t="s">
        <v>38</v>
      </c>
      <c r="H57" s="107" t="s">
        <v>240</v>
      </c>
      <c r="I57" s="100" t="str">
        <f t="shared" si="2"/>
        <v>Mantenimiento del control</v>
      </c>
      <c r="J57" s="97">
        <f t="shared" si="13"/>
        <v>120</v>
      </c>
      <c r="K57" s="102">
        <v>0.85123456779999995</v>
      </c>
      <c r="L57" s="97">
        <f t="shared" si="3"/>
        <v>120.85123456780001</v>
      </c>
      <c r="M57" s="45"/>
      <c r="N57" s="45"/>
      <c r="O57" s="45"/>
      <c r="P57" s="45"/>
      <c r="Q57" s="45"/>
    </row>
    <row r="58" spans="1:17" s="46" customFormat="1" ht="210" customHeight="1" x14ac:dyDescent="0.2">
      <c r="A58" s="95" t="str">
        <f t="shared" si="14"/>
        <v>9d</v>
      </c>
      <c r="B58" s="212"/>
      <c r="C58" s="240"/>
      <c r="D58" s="209"/>
      <c r="E58" s="77" t="s">
        <v>41</v>
      </c>
      <c r="F58" s="79" t="s">
        <v>110</v>
      </c>
      <c r="G58" s="105" t="s">
        <v>75</v>
      </c>
      <c r="H58" s="107" t="s">
        <v>241</v>
      </c>
      <c r="I58" s="100" t="str">
        <f t="shared" si="2"/>
        <v>Oportunidad de mejora</v>
      </c>
      <c r="J58" s="97">
        <f t="shared" si="13"/>
        <v>100</v>
      </c>
      <c r="K58" s="102">
        <v>0.85123456788999996</v>
      </c>
      <c r="L58" s="97">
        <f t="shared" si="3"/>
        <v>100.85123456789</v>
      </c>
      <c r="M58" s="45"/>
      <c r="N58" s="45"/>
      <c r="O58" s="45"/>
      <c r="P58" s="45"/>
      <c r="Q58" s="45"/>
    </row>
    <row r="59" spans="1:17" s="46" customFormat="1" ht="193" customHeight="1" thickBot="1" x14ac:dyDescent="0.25">
      <c r="A59" s="95" t="str">
        <f t="shared" si="14"/>
        <v>9e</v>
      </c>
      <c r="B59" s="213"/>
      <c r="C59" s="240"/>
      <c r="D59" s="226"/>
      <c r="E59" s="80" t="s">
        <v>43</v>
      </c>
      <c r="F59" s="81" t="s">
        <v>111</v>
      </c>
      <c r="G59" s="108" t="s">
        <v>38</v>
      </c>
      <c r="H59" s="109" t="s">
        <v>242</v>
      </c>
      <c r="I59" s="101"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C60" zoomScale="131" zoomScaleNormal="80" workbookViewId="0">
      <selection activeCell="G19" sqref="G19"/>
    </sheetView>
  </sheetViews>
  <sheetFormatPr baseColWidth="10" defaultColWidth="11.5" defaultRowHeight="15" x14ac:dyDescent="0.2"/>
  <cols>
    <col min="3" max="3" width="22.83203125" customWidth="1"/>
    <col min="4" max="4" width="22.5" customWidth="1"/>
    <col min="5" max="5" width="53.5" customWidth="1"/>
    <col min="7" max="7" width="28.33203125" customWidth="1"/>
    <col min="8" max="8" width="4.83203125" customWidth="1"/>
    <col min="9" max="9" width="15.33203125" customWidth="1"/>
    <col min="10" max="10" width="22.5" customWidth="1"/>
    <col min="11" max="29" width="11.5" style="1"/>
  </cols>
  <sheetData>
    <row r="1" spans="1:11" x14ac:dyDescent="0.2">
      <c r="A1" s="1"/>
      <c r="B1" s="1"/>
      <c r="C1" s="1"/>
      <c r="D1" s="1"/>
      <c r="E1" s="1"/>
      <c r="F1" s="1"/>
      <c r="G1" s="1"/>
      <c r="H1" s="1"/>
      <c r="I1" s="1"/>
      <c r="J1" s="1"/>
    </row>
    <row r="2" spans="1:11" s="1" customFormat="1" x14ac:dyDescent="0.2"/>
    <row r="3" spans="1:11" s="1" customFormat="1" x14ac:dyDescent="0.2"/>
    <row r="4" spans="1:11" x14ac:dyDescent="0.2">
      <c r="A4" s="1"/>
      <c r="B4" s="1"/>
      <c r="C4" s="1"/>
      <c r="D4" s="1"/>
      <c r="E4" s="1"/>
      <c r="F4" s="1"/>
      <c r="G4" s="1"/>
      <c r="H4" s="1"/>
      <c r="I4" s="1"/>
      <c r="J4" s="1"/>
    </row>
    <row r="5" spans="1:11" x14ac:dyDescent="0.2">
      <c r="A5" s="1"/>
      <c r="B5" s="1"/>
      <c r="C5" s="1"/>
      <c r="D5" s="1"/>
      <c r="E5" s="1"/>
      <c r="F5" s="1"/>
      <c r="G5" s="1"/>
      <c r="H5" s="1"/>
      <c r="I5" s="1"/>
      <c r="J5" s="1"/>
    </row>
    <row r="6" spans="1:11" ht="16" thickBot="1" x14ac:dyDescent="0.25">
      <c r="A6" s="1"/>
      <c r="B6" s="1"/>
      <c r="C6" s="1"/>
      <c r="D6" s="1"/>
      <c r="E6" s="1"/>
      <c r="F6" s="1"/>
      <c r="G6" s="1"/>
      <c r="H6" s="1"/>
      <c r="I6" s="1"/>
      <c r="J6" s="1"/>
    </row>
    <row r="7" spans="1:11" ht="26" thickBot="1" x14ac:dyDescent="0.25">
      <c r="A7" s="1"/>
      <c r="B7" s="1"/>
      <c r="C7" s="251" t="s">
        <v>112</v>
      </c>
      <c r="D7" s="252"/>
      <c r="E7" s="252"/>
      <c r="F7" s="252"/>
      <c r="G7" s="252"/>
      <c r="H7" s="252"/>
      <c r="I7" s="252"/>
      <c r="J7" s="252"/>
      <c r="K7" s="253"/>
    </row>
    <row r="8" spans="1:11" s="1" customFormat="1" ht="16" thickBot="1" x14ac:dyDescent="0.25">
      <c r="C8" s="36"/>
      <c r="D8" s="36"/>
      <c r="E8" s="37"/>
      <c r="F8" s="37"/>
      <c r="G8" s="37"/>
      <c r="H8" s="37"/>
      <c r="I8" s="47"/>
      <c r="J8" s="37"/>
      <c r="K8" s="37"/>
    </row>
    <row r="9" spans="1:11" ht="21" thickBot="1" x14ac:dyDescent="0.25">
      <c r="A9" s="1"/>
      <c r="B9" s="1"/>
      <c r="C9" s="160" t="s">
        <v>15</v>
      </c>
      <c r="D9" s="161"/>
      <c r="E9" s="161" t="s">
        <v>16</v>
      </c>
      <c r="F9" s="172"/>
      <c r="G9" s="37"/>
      <c r="H9" s="37"/>
      <c r="I9" s="47"/>
      <c r="J9" s="37"/>
      <c r="K9" s="37"/>
    </row>
    <row r="10" spans="1:11" ht="54" customHeight="1" x14ac:dyDescent="0.2">
      <c r="A10" s="1"/>
      <c r="B10" s="1"/>
      <c r="C10" s="173" t="s">
        <v>17</v>
      </c>
      <c r="D10" s="174"/>
      <c r="E10" s="175" t="s">
        <v>18</v>
      </c>
      <c r="F10" s="176"/>
      <c r="G10" s="38"/>
      <c r="H10" s="39">
        <v>1</v>
      </c>
      <c r="I10" s="47"/>
      <c r="J10" s="37"/>
      <c r="K10" s="37"/>
    </row>
    <row r="11" spans="1:11" ht="46.5" customHeight="1" x14ac:dyDescent="0.2">
      <c r="A11" s="1"/>
      <c r="B11" s="1"/>
      <c r="C11" s="162" t="s">
        <v>19</v>
      </c>
      <c r="D11" s="163"/>
      <c r="E11" s="164" t="s">
        <v>113</v>
      </c>
      <c r="F11" s="165"/>
      <c r="G11" s="40" t="s">
        <v>114</v>
      </c>
      <c r="H11" s="39">
        <v>0.75</v>
      </c>
      <c r="I11" s="47"/>
      <c r="J11" s="37"/>
      <c r="K11" s="37"/>
    </row>
    <row r="12" spans="1:11" ht="70.5" customHeight="1" thickBot="1" x14ac:dyDescent="0.25">
      <c r="A12" s="1"/>
      <c r="B12" s="1"/>
      <c r="C12" s="166" t="s">
        <v>21</v>
      </c>
      <c r="D12" s="167"/>
      <c r="E12" s="168" t="s">
        <v>115</v>
      </c>
      <c r="F12" s="169"/>
      <c r="G12" s="41"/>
      <c r="H12" s="39">
        <v>0.25</v>
      </c>
      <c r="I12" s="47"/>
      <c r="J12" s="37"/>
      <c r="K12" s="37"/>
    </row>
    <row r="13" spans="1:11" s="1" customFormat="1" x14ac:dyDescent="0.2"/>
    <row r="14" spans="1:11" s="1" customFormat="1" x14ac:dyDescent="0.2"/>
    <row r="15" spans="1:11" s="1" customFormat="1" x14ac:dyDescent="0.2"/>
    <row r="16" spans="1:11" s="1" customFormat="1" ht="16" thickBot="1" x14ac:dyDescent="0.25"/>
    <row r="17" spans="1:10" x14ac:dyDescent="0.2">
      <c r="A17" s="1"/>
      <c r="B17" s="1"/>
      <c r="C17" s="259" t="s">
        <v>116</v>
      </c>
      <c r="D17" s="261" t="s">
        <v>117</v>
      </c>
      <c r="E17" s="262"/>
      <c r="F17" s="263" t="s">
        <v>118</v>
      </c>
      <c r="G17" s="265" t="s">
        <v>119</v>
      </c>
      <c r="H17" s="35"/>
      <c r="I17" s="254" t="s">
        <v>120</v>
      </c>
      <c r="J17" s="254" t="s">
        <v>121</v>
      </c>
    </row>
    <row r="18" spans="1:10" ht="36" customHeight="1" thickBot="1" x14ac:dyDescent="0.25">
      <c r="A18" s="1"/>
      <c r="B18" s="1"/>
      <c r="C18" s="260"/>
      <c r="D18" s="110" t="s">
        <v>122</v>
      </c>
      <c r="E18" s="111" t="s">
        <v>27</v>
      </c>
      <c r="F18" s="264"/>
      <c r="G18" s="266"/>
      <c r="H18" s="35"/>
      <c r="I18" s="255"/>
      <c r="J18" s="255"/>
    </row>
    <row r="19" spans="1:10" ht="65.25" customHeight="1" x14ac:dyDescent="0.2">
      <c r="A19" s="1"/>
      <c r="B19" s="1"/>
      <c r="C19" s="129">
        <v>1</v>
      </c>
      <c r="D19" s="256" t="s">
        <v>32</v>
      </c>
      <c r="E19" s="112" t="str">
        <f>+IFERROR(INDEX(Hoja1!$E$2:$E$45,MATCH('Análisis Resultados'!C19,Hoja1!$H$2:$H$45,0)),"")</f>
        <v>Documento interno o adopción del MECI actualizado</v>
      </c>
      <c r="F19" s="113" t="str">
        <f>+IFERROR(VLOOKUP(C19,Hoja1!$H$2:$I$45,2,0),"")</f>
        <v>Si</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19" s="130">
        <f>+IF(F19="Si",1,IF(F19="En proceso",0.5,0))</f>
        <v>1</v>
      </c>
      <c r="J19" s="269">
        <f>+AVERAGE(I19:I30)</f>
        <v>1</v>
      </c>
    </row>
    <row r="20" spans="1:10" ht="45" x14ac:dyDescent="0.2">
      <c r="A20" s="1"/>
      <c r="B20" s="1"/>
      <c r="C20" s="129">
        <v>2</v>
      </c>
      <c r="D20" s="257"/>
      <c r="E20" s="115" t="str">
        <f>+IFERROR(INDEX(Hoja1!$E$2:$E$45,MATCH('Análisis Resultados'!C20,Hoja1!$H$2:$H$45,0)),"")</f>
        <v>Un documento tal como un código de ética, integridad u otro que formalice los estándares de conducta, los principios institucionales o los valores del servicio público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70"/>
    </row>
    <row r="21" spans="1:10" ht="45" x14ac:dyDescent="0.2">
      <c r="A21" s="1"/>
      <c r="B21" s="1"/>
      <c r="C21" s="129">
        <v>3</v>
      </c>
      <c r="D21" s="257"/>
      <c r="E21" s="115" t="str">
        <f>+IFERROR(INDEX(Hoja1!$E$2:$E$45,MATCH('Análisis Resultados'!C21,Hoja1!$H$2:$H$45,0)),"")</f>
        <v>Planes, programas y proyectos de acuerdo con las normas que rigen y atendiendo con su propósito fundamental institucional (misión)</v>
      </c>
      <c r="F21" s="116" t="str">
        <f>+IFERROR(VLOOKUP(C21,Hoja1!$H$2:$I$45,2,0),"")</f>
        <v>Si</v>
      </c>
      <c r="G21" s="117" t="str">
        <f t="shared" si="0"/>
        <v>Existe requerimiento pero se requiere actividades  dirigidas a su mantenimiento dentro del marco de las lineas de defensa.</v>
      </c>
      <c r="I21" s="131">
        <f t="shared" si="1"/>
        <v>1</v>
      </c>
      <c r="J21" s="270"/>
    </row>
    <row r="22" spans="1:10" ht="56.25" customHeight="1" x14ac:dyDescent="0.2">
      <c r="A22" s="1"/>
      <c r="B22" s="1"/>
      <c r="C22" s="129">
        <v>4</v>
      </c>
      <c r="D22" s="257"/>
      <c r="E22" s="115" t="str">
        <f>+IFERROR(INDEX(Hoja1!$E$2:$E$45,MATCH('Análisis Resultados'!C22,Hoja1!$H$2:$H$45,0)),"")</f>
        <v>Una estructura organizacional formalizada (organigrama)</v>
      </c>
      <c r="F22" s="116" t="str">
        <f>+IFERROR(VLOOKUP(C22,Hoja1!$H$2:$I$45,2,0),"")</f>
        <v>Si</v>
      </c>
      <c r="G22" s="117" t="str">
        <f t="shared" si="0"/>
        <v>Existe requerimiento pero se requiere actividades  dirigidas a su mantenimiento dentro del marco de las lineas de defensa.</v>
      </c>
      <c r="I22" s="131">
        <f t="shared" si="1"/>
        <v>1</v>
      </c>
      <c r="J22" s="270"/>
    </row>
    <row r="23" spans="1:10" ht="36" x14ac:dyDescent="0.2">
      <c r="A23" s="1"/>
      <c r="B23" s="1"/>
      <c r="C23" s="129">
        <v>5</v>
      </c>
      <c r="D23" s="257"/>
      <c r="E23" s="115" t="str">
        <f>+IFERROR(INDEX(Hoja1!$E$2:$E$45,MATCH('Análisis Resultados'!C23,Hoja1!$H$2:$H$45,0)),"")</f>
        <v>Un manual de funciones que describa los empleos de la entidad</v>
      </c>
      <c r="F23" s="116" t="str">
        <f>+IFERROR(VLOOKUP(C23,Hoja1!$H$2:$I$45,2,0),"")</f>
        <v>Si</v>
      </c>
      <c r="G23" s="117" t="str">
        <f t="shared" si="0"/>
        <v>Existe requerimiento pero se requiere actividades  dirigidas a su mantenimiento dentro del marco de las lineas de defensa.</v>
      </c>
      <c r="I23" s="131">
        <f t="shared" si="1"/>
        <v>1</v>
      </c>
      <c r="J23" s="270"/>
    </row>
    <row r="24" spans="1:10" ht="45" x14ac:dyDescent="0.2">
      <c r="A24" s="1"/>
      <c r="B24" s="1"/>
      <c r="C24" s="129">
        <v>6</v>
      </c>
      <c r="D24" s="257"/>
      <c r="E24" s="115" t="str">
        <f>+IFERROR(INDEX(Hoja1!$E$2:$E$45,MATCH('Análisis Resultados'!C24,Hoja1!$H$2:$H$45,0)),"")</f>
        <v>La documentación de sus procesos y procedimientos o bien una lista de actividades principales que permitan conocer el estado de su gestión</v>
      </c>
      <c r="F24" s="116" t="str">
        <f>+IFERROR(VLOOKUP(C24,Hoja1!$H$2:$I$45,2,0),"")</f>
        <v>Si</v>
      </c>
      <c r="G24" s="117" t="str">
        <f t="shared" si="0"/>
        <v>Existe requerimiento pero se requiere actividades  dirigidas a su mantenimiento dentro del marco de las lineas de defensa.</v>
      </c>
      <c r="I24" s="131">
        <f t="shared" si="1"/>
        <v>1</v>
      </c>
      <c r="J24" s="270"/>
    </row>
    <row r="25" spans="1:10" ht="45" x14ac:dyDescent="0.2">
      <c r="A25" s="1"/>
      <c r="B25" s="1"/>
      <c r="C25" s="129">
        <v>7</v>
      </c>
      <c r="D25" s="257"/>
      <c r="E25" s="115" t="str">
        <f>+IFERROR(INDEX(Hoja1!$E$2:$E$45,MATCH('Análisis Resultados'!C25,Hoja1!$H$2:$H$45,0)),"")</f>
        <v>Vinculación de los servidores públicos de acuerdo con el marco normativo que les rige (carrera administrativa, libre nombramiento y remoción, entre otros)</v>
      </c>
      <c r="F25" s="116" t="str">
        <f>+IFERROR(VLOOKUP(C25,Hoja1!$H$2:$I$45,2,0),"")</f>
        <v>Si</v>
      </c>
      <c r="G25" s="117" t="str">
        <f t="shared" si="0"/>
        <v>Existe requerimiento pero se requiere actividades  dirigidas a su mantenimiento dentro del marco de las lineas de defensa.</v>
      </c>
      <c r="I25" s="131">
        <f t="shared" si="1"/>
        <v>1</v>
      </c>
      <c r="J25" s="270"/>
    </row>
    <row r="26" spans="1:10" ht="45" x14ac:dyDescent="0.2">
      <c r="A26" s="1"/>
      <c r="B26" s="1"/>
      <c r="C26" s="129">
        <v>8</v>
      </c>
      <c r="D26" s="257"/>
      <c r="E26" s="115" t="str">
        <f>+IFERROR(INDEX(Hoja1!$E$2:$E$45,MATCH('Análisis Resultados'!C26,Hoja1!$H$2:$H$45,0)),"")</f>
        <v>Procesos de inducción, capacitación y bienestar social para sus servidores públicos, de manera directa o en asociación con otras entidades municipales</v>
      </c>
      <c r="F26" s="116" t="str">
        <f>+IFERROR(VLOOKUP(C26,Hoja1!$H$2:$I$45,2,0),"")</f>
        <v>Si</v>
      </c>
      <c r="G26" s="117" t="str">
        <f t="shared" si="0"/>
        <v>Existe requerimiento pero se requiere actividades  dirigidas a su mantenimiento dentro del marco de las lineas de defensa.</v>
      </c>
      <c r="I26" s="131">
        <f t="shared" si="1"/>
        <v>1</v>
      </c>
      <c r="J26" s="270"/>
    </row>
    <row r="27" spans="1:10" ht="36" x14ac:dyDescent="0.2">
      <c r="A27" s="1"/>
      <c r="B27" s="1"/>
      <c r="C27" s="129">
        <v>9</v>
      </c>
      <c r="D27" s="257"/>
      <c r="E27" s="115" t="str">
        <f>+IFERROR(INDEX(Hoja1!$E$2:$E$45,MATCH('Análisis Resultados'!C27,Hoja1!$H$2:$H$45,0)),"")</f>
        <v>Evaluación a los servidores públicos de acuerdo con el marco normativo que le rige</v>
      </c>
      <c r="F27" s="116" t="str">
        <f>+IFERROR(VLOOKUP(C27,Hoja1!$H$2:$I$45,2,0),"")</f>
        <v>Si</v>
      </c>
      <c r="G27" s="117" t="str">
        <f t="shared" si="0"/>
        <v>Existe requerimiento pero se requiere actividades  dirigidas a su mantenimiento dentro del marco de las lineas de defensa.</v>
      </c>
      <c r="I27" s="131">
        <f t="shared" si="1"/>
        <v>1</v>
      </c>
      <c r="J27" s="270"/>
    </row>
    <row r="28" spans="1:10" ht="36" x14ac:dyDescent="0.2">
      <c r="A28" s="1"/>
      <c r="B28" s="1"/>
      <c r="C28" s="129">
        <v>10</v>
      </c>
      <c r="D28" s="257"/>
      <c r="E28" s="115" t="str">
        <f>+IFERROR(INDEX(Hoja1!$E$2:$E$45,MATCH('Análisis Resultados'!C28,Hoja1!$H$2:$H$45,0)),"")</f>
        <v>Procesos de desvinculación de servidores de acuerdo con lo previsto en la Constitución Política y las leyes</v>
      </c>
      <c r="F28" s="116" t="str">
        <f>+IFERROR(VLOOKUP(C28,Hoja1!$H$2:$I$45,2,0),"")</f>
        <v>Si</v>
      </c>
      <c r="G28" s="117" t="str">
        <f t="shared" si="0"/>
        <v>Existe requerimiento pero se requiere actividades  dirigidas a su mantenimiento dentro del marco de las lineas de defensa.</v>
      </c>
      <c r="I28" s="131">
        <f t="shared" si="1"/>
        <v>1</v>
      </c>
      <c r="J28" s="270"/>
    </row>
    <row r="29" spans="1:10" ht="36" x14ac:dyDescent="0.2">
      <c r="A29" s="1"/>
      <c r="B29" s="1"/>
      <c r="C29" s="129">
        <v>11</v>
      </c>
      <c r="D29" s="257"/>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70"/>
    </row>
    <row r="30" spans="1:10" ht="37" thickBot="1" x14ac:dyDescent="0.25">
      <c r="A30" s="1"/>
      <c r="B30" s="1"/>
      <c r="C30" s="129">
        <v>12</v>
      </c>
      <c r="D30" s="258"/>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71"/>
    </row>
    <row r="31" spans="1:10" ht="45" customHeight="1" x14ac:dyDescent="0.2">
      <c r="A31" s="1"/>
      <c r="B31" s="1"/>
      <c r="C31" s="129">
        <v>13</v>
      </c>
      <c r="D31" s="283" t="s">
        <v>60</v>
      </c>
      <c r="E31" s="112" t="str">
        <f>+IFERROR(INDEX(Hoja1!$E$2:$E$45,MATCH('Análisis Resultados'!C31,Hoja1!$H$2:$H$45,0)),"")</f>
        <v>Cada líder del equipo autónomamente toma las acciones para solucionarlos.</v>
      </c>
      <c r="F31" s="113" t="str">
        <f>+IFERROR(VLOOKUP(C31,Hoja1!$H$2:$I$45,2,0),"")</f>
        <v>En proceso</v>
      </c>
      <c r="G31" s="114" t="str">
        <f t="shared" si="0"/>
        <v>Se encuentra en proceso, pero requiere continuar con acciones dirigidas a contar con dicho aspecto de control.</v>
      </c>
      <c r="I31" s="130">
        <f t="shared" si="1"/>
        <v>0.5</v>
      </c>
      <c r="J31" s="267">
        <f>+AVERAGE(I31:I40)</f>
        <v>0.95</v>
      </c>
    </row>
    <row r="32" spans="1:10" ht="57" customHeight="1" x14ac:dyDescent="0.2">
      <c r="A32" s="1"/>
      <c r="B32" s="1"/>
      <c r="C32" s="129">
        <v>14</v>
      </c>
      <c r="D32" s="284"/>
      <c r="E32" s="115" t="str">
        <f>+IFERROR(INDEX(Hoja1!$E$2:$E$45,MATCH('Análisis Resultados'!C32,Hoja1!$H$2:$H$45,0)),"")</f>
        <v>La identificación de cambios en su entorno que pueden generar consecuencias negativas en su gestión</v>
      </c>
      <c r="F32" s="116" t="str">
        <f>+IFERROR(VLOOKUP(C32,Hoja1!$H$2:$I$45,2,0),"")</f>
        <v>Si</v>
      </c>
      <c r="G32" s="117" t="str">
        <f t="shared" si="0"/>
        <v>Existe requerimiento pero se requiere actividades  dirigidas a su mantenimiento dentro del marco de las lineas de defensa.</v>
      </c>
      <c r="I32" s="131">
        <f t="shared" si="1"/>
        <v>1</v>
      </c>
      <c r="J32" s="268"/>
    </row>
    <row r="33" spans="1:10" ht="54" customHeight="1" x14ac:dyDescent="0.2">
      <c r="A33" s="1"/>
      <c r="B33" s="1"/>
      <c r="C33" s="129">
        <v>15</v>
      </c>
      <c r="D33" s="284"/>
      <c r="E33" s="115" t="str">
        <f>+IFERROR(INDEX(Hoja1!$E$2:$E$45,MATCH('Análisis Resultados'!C33,Hoja1!$H$2:$H$45,0)),"")</f>
        <v>La identificación de aquellos problemas o aspectos que pueden afectar el cumplimiento de los planes de la entidad y en general su gestión institucional (riesgos)</v>
      </c>
      <c r="F33" s="116" t="str">
        <f>+IFERROR(VLOOKUP(C33,Hoja1!$H$2:$I$45,2,0),"")</f>
        <v>Si</v>
      </c>
      <c r="G33" s="117" t="str">
        <f t="shared" si="0"/>
        <v>Existe requerimiento pero se requiere actividades  dirigidas a su mantenimiento dentro del marco de las lineas de defensa.</v>
      </c>
      <c r="I33" s="131">
        <f t="shared" si="1"/>
        <v>1</v>
      </c>
      <c r="J33" s="268"/>
    </row>
    <row r="34" spans="1:10" ht="36" x14ac:dyDescent="0.2">
      <c r="A34" s="1"/>
      <c r="B34" s="1"/>
      <c r="C34" s="129">
        <v>16</v>
      </c>
      <c r="D34" s="284"/>
      <c r="E34" s="115" t="str">
        <f>+IFERROR(INDEX(Hoja1!$E$2:$E$45,MATCH('Análisis Resultados'!C34,Hoja1!$H$2:$H$45,0)),"")</f>
        <v>La identificación  de los riesgos relacionados con posibles actos de corrupción en el ejercicio de sus funciones</v>
      </c>
      <c r="F34" s="116" t="str">
        <f>+IFERROR(VLOOKUP(C34,Hoja1!$H$2:$I$45,2,0),"")</f>
        <v>Si</v>
      </c>
      <c r="G34" s="117" t="str">
        <f t="shared" si="0"/>
        <v>Existe requerimiento pero se requiere actividades  dirigidas a su mantenimiento dentro del marco de las lineas de defensa.</v>
      </c>
      <c r="I34" s="131">
        <f t="shared" si="1"/>
        <v>1</v>
      </c>
      <c r="J34" s="268"/>
    </row>
    <row r="35" spans="1:10" ht="67.5" customHeight="1" x14ac:dyDescent="0.2">
      <c r="A35" s="1"/>
      <c r="B35" s="1"/>
      <c r="C35" s="129">
        <v>17</v>
      </c>
      <c r="D35" s="284"/>
      <c r="E35" s="115" t="str">
        <f>+IFERROR(INDEX(Hoja1!$E$2:$E$45,MATCH('Análisis Resultados'!C35,Hoja1!$H$2:$H$45,0)),"")</f>
        <v>Si su capacidad e infraestructura lo permite, identificación de riesgos asociados a las tecnologías de la información y las comunicaciones</v>
      </c>
      <c r="F35" s="116" t="str">
        <f>+IFERROR(VLOOKUP(C35,Hoja1!$H$2:$I$45,2,0),"")</f>
        <v>Si</v>
      </c>
      <c r="G35" s="117" t="str">
        <f t="shared" si="0"/>
        <v>Existe requerimiento pero se requiere actividades  dirigidas a su mantenimiento dentro del marco de las lineas de defensa.</v>
      </c>
      <c r="I35" s="131">
        <f t="shared" si="1"/>
        <v>1</v>
      </c>
      <c r="J35" s="268"/>
    </row>
    <row r="36" spans="1:10" ht="45" x14ac:dyDescent="0.2">
      <c r="A36" s="1"/>
      <c r="B36" s="1"/>
      <c r="C36" s="129">
        <v>18</v>
      </c>
      <c r="D36" s="284"/>
      <c r="E36" s="115" t="str">
        <f>+IFERROR(INDEX(Hoja1!$E$2:$E$45,MATCH('Análisis Resultados'!C36,Hoja1!$H$2:$H$45,0)),"")</f>
        <v>Hacen seguimiento a los problemas (riesgos)  que pueden afectar el cumplimiento de sus procesos, programas o proyectos a cargo</v>
      </c>
      <c r="F36" s="116" t="str">
        <f>+IFERROR(VLOOKUP(C36,Hoja1!$H$2:$I$45,2,0),"")</f>
        <v>Si</v>
      </c>
      <c r="G36" s="117" t="str">
        <f t="shared" si="0"/>
        <v>Existe requerimiento pero se requiere actividades  dirigidas a su mantenimiento dentro del marco de las lineas de defensa.</v>
      </c>
      <c r="I36" s="131">
        <f t="shared" si="1"/>
        <v>1</v>
      </c>
      <c r="J36" s="268"/>
    </row>
    <row r="37" spans="1:10" ht="57" customHeight="1" x14ac:dyDescent="0.2">
      <c r="A37" s="1"/>
      <c r="B37" s="1"/>
      <c r="C37" s="129">
        <v>19</v>
      </c>
      <c r="D37" s="284"/>
      <c r="E37" s="115" t="str">
        <f>+IFERROR(INDEX(Hoja1!$E$2:$E$45,MATCH('Análisis Resultados'!C37,Hoja1!$H$2:$H$45,0)),"")</f>
        <v>Informan de manera periódica a quien corresponda sobre el desempeño de las actividades de gestión de riesgos</v>
      </c>
      <c r="F37" s="116" t="str">
        <f>+IFERROR(VLOOKUP(C37,Hoja1!$H$2:$I$45,2,0),"")</f>
        <v>Si</v>
      </c>
      <c r="G37" s="117" t="str">
        <f t="shared" si="0"/>
        <v>Existe requerimiento pero se requiere actividades  dirigidas a su mantenimiento dentro del marco de las lineas de defensa.</v>
      </c>
      <c r="I37" s="131">
        <f t="shared" si="1"/>
        <v>1</v>
      </c>
      <c r="J37" s="268"/>
    </row>
    <row r="38" spans="1:10" ht="45" x14ac:dyDescent="0.2">
      <c r="A38" s="1"/>
      <c r="B38" s="1"/>
      <c r="C38" s="129">
        <v>20</v>
      </c>
      <c r="D38" s="284"/>
      <c r="E38" s="115" t="str">
        <f>+IFERROR(INDEX(Hoja1!$E$2:$E$45,MATCH('Análisis Resultados'!C38,Hoja1!$H$2:$H$45,0)),"")</f>
        <v>Identifican deficiencias en las maneras de  controlar los riesgos o problemas en sus procesos, programas o proyectos, y propone los ajustes necesarios</v>
      </c>
      <c r="F38" s="116" t="str">
        <f>+IFERROR(VLOOKUP(C38,Hoja1!$H$2:$I$45,2,0),"")</f>
        <v>Si</v>
      </c>
      <c r="G38" s="117" t="str">
        <f t="shared" si="0"/>
        <v>Existe requerimiento pero se requiere actividades  dirigidas a su mantenimiento dentro del marco de las lineas de defensa.</v>
      </c>
      <c r="I38" s="131">
        <f t="shared" si="1"/>
        <v>1</v>
      </c>
      <c r="J38" s="268"/>
    </row>
    <row r="39" spans="1:10" ht="36" x14ac:dyDescent="0.2">
      <c r="A39" s="1"/>
      <c r="B39" s="1"/>
      <c r="C39" s="129">
        <v>21</v>
      </c>
      <c r="D39" s="284"/>
      <c r="E39" s="115" t="str">
        <f>+IFERROR(INDEX(Hoja1!$E$2:$E$45,MATCH('Análisis Resultados'!C39,Hoja1!$H$2:$H$45,0)),"")</f>
        <v>Se definen espacios de reunión para conocerlos y proponer acciones para su solución</v>
      </c>
      <c r="F39" s="116" t="str">
        <f>+IFERROR(VLOOKUP(C39,Hoja1!$H$2:$I$45,2,0),"")</f>
        <v>Si</v>
      </c>
      <c r="G39" s="117" t="str">
        <f t="shared" si="0"/>
        <v>Existe requerimiento pero se requiere actividades  dirigidas a su mantenimiento dentro del marco de las lineas de defensa.</v>
      </c>
      <c r="I39" s="131">
        <f t="shared" si="1"/>
        <v>1</v>
      </c>
      <c r="J39" s="268"/>
    </row>
    <row r="40" spans="1:10" ht="37" thickBot="1" x14ac:dyDescent="0.25">
      <c r="A40" s="1"/>
      <c r="B40" s="1"/>
      <c r="C40" s="129">
        <v>22</v>
      </c>
      <c r="D40" s="284"/>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68"/>
    </row>
    <row r="41" spans="1:10" ht="87.75" customHeight="1" x14ac:dyDescent="0.2">
      <c r="A41" s="1"/>
      <c r="B41" s="1"/>
      <c r="C41" s="129">
        <v>23</v>
      </c>
      <c r="D41" s="279" t="s">
        <v>78</v>
      </c>
      <c r="E41" s="112" t="str">
        <f>+IFERROR(INDEX(Hoja1!$E$2:$E$45,MATCH('Análisis Resultados'!C41,Hoja1!$H$2:$H$45,0)),"")</f>
        <v>La definición de acciones o actividades para para dar tratamiento a los problemas identificados (mitigación de riesgos), incluyendo aquellos asociados a posibles actos de corrupción</v>
      </c>
      <c r="F41" s="113" t="str">
        <f>+IFERROR(VLOOKUP(C41,Hoja1!$H$2:$I$45,2,0),"")</f>
        <v>Si</v>
      </c>
      <c r="G41" s="114" t="str">
        <f t="shared" si="0"/>
        <v>Existe requerimiento pero se requiere actividades  dirigidas a su mantenimiento dentro del marco de las lineas de defensa.</v>
      </c>
      <c r="I41" s="130">
        <f t="shared" si="1"/>
        <v>1</v>
      </c>
      <c r="J41" s="267">
        <f>+AVERAGE(I41:I45)</f>
        <v>1</v>
      </c>
    </row>
    <row r="42" spans="1:10" ht="45" x14ac:dyDescent="0.2">
      <c r="A42" s="1"/>
      <c r="B42" s="1"/>
      <c r="C42" s="129">
        <v>24</v>
      </c>
      <c r="D42" s="280"/>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Si</v>
      </c>
      <c r="G42" s="117" t="str">
        <f t="shared" si="0"/>
        <v>Existe requerimiento pero se requiere actividades  dirigidas a su mantenimiento dentro del marco de las lineas de defensa.</v>
      </c>
      <c r="I42" s="131">
        <f t="shared" si="1"/>
        <v>1</v>
      </c>
      <c r="J42" s="268"/>
    </row>
    <row r="43" spans="1:10" ht="85.5" customHeight="1" x14ac:dyDescent="0.2">
      <c r="A43" s="1"/>
      <c r="B43" s="1"/>
      <c r="C43" s="129">
        <v>25</v>
      </c>
      <c r="D43" s="280"/>
      <c r="E43" s="115" t="str">
        <f>+IFERROR(INDEX(Hoja1!$E$2:$E$45,MATCH('Análisis Resultados'!C43,Hoja1!$H$2:$H$45,0)),"")</f>
        <v>Planes, acciones o estrategias que permitan subsanar las consecuencias de la materialización de los riesgos, cuando se presentan</v>
      </c>
      <c r="F43" s="116" t="str">
        <f>+IFERROR(VLOOKUP(C43,Hoja1!$H$2:$I$45,2,0),"")</f>
        <v>Si</v>
      </c>
      <c r="G43" s="117" t="str">
        <f t="shared" si="0"/>
        <v>Existe requerimiento pero se requiere actividades  dirigidas a su mantenimiento dentro del marco de las lineas de defensa.</v>
      </c>
      <c r="I43" s="131">
        <f t="shared" si="1"/>
        <v>1</v>
      </c>
      <c r="J43" s="268"/>
    </row>
    <row r="44" spans="1:10" ht="57" customHeight="1" x14ac:dyDescent="0.2">
      <c r="A44" s="1"/>
      <c r="B44" s="1"/>
      <c r="C44" s="129">
        <v>26</v>
      </c>
      <c r="D44" s="280"/>
      <c r="E44" s="115"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6" t="str">
        <f>+IFERROR(VLOOKUP(C44,Hoja1!$H$2:$I$45,2,0),"")</f>
        <v>Si</v>
      </c>
      <c r="G44" s="117" t="str">
        <f t="shared" si="0"/>
        <v>Existe requerimiento pero se requiere actividades  dirigidas a su mantenimiento dentro del marco de las lineas de defensa.</v>
      </c>
      <c r="I44" s="131">
        <f t="shared" si="1"/>
        <v>1</v>
      </c>
      <c r="J44" s="268"/>
    </row>
    <row r="45" spans="1:10" ht="57" customHeight="1" thickBot="1" x14ac:dyDescent="0.25">
      <c r="A45" s="1"/>
      <c r="B45" s="1"/>
      <c r="C45" s="129">
        <v>27</v>
      </c>
      <c r="D45" s="281"/>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82"/>
    </row>
    <row r="46" spans="1:10" ht="63.75" customHeight="1" x14ac:dyDescent="0.2">
      <c r="A46" s="1"/>
      <c r="B46" s="1"/>
      <c r="C46" s="129">
        <v>28</v>
      </c>
      <c r="D46" s="278" t="s">
        <v>86</v>
      </c>
      <c r="E46" s="124" t="str">
        <f>+IFERROR(INDEX(Hoja1!$E$2:$E$45,MATCH('Análisis Resultados'!C46,Hoja1!$H$2:$H$45,0)),"")</f>
        <v>Identificación de información que produce en el marco de su gestión (Para los ciudadanos, organismos de control, organismos gubernamentales, entre otros)</v>
      </c>
      <c r="F46" s="125" t="str">
        <f>+IFERROR(VLOOKUP(C46,Hoja1!$H$2:$I$45,2,0),"")</f>
        <v>En proceso</v>
      </c>
      <c r="G46" s="126" t="str">
        <f t="shared" si="0"/>
        <v>Se encuentra en proceso, pero requiere continuar con acciones dirigidas a contar con dicho aspecto de control.</v>
      </c>
      <c r="I46" s="134">
        <f t="shared" si="1"/>
        <v>0.5</v>
      </c>
      <c r="J46" s="268">
        <f>+AVERAGE(I46:I52)</f>
        <v>0.7857142857142857</v>
      </c>
    </row>
    <row r="47" spans="1:10" ht="92.25" customHeight="1" x14ac:dyDescent="0.2">
      <c r="A47" s="1"/>
      <c r="B47" s="1"/>
      <c r="C47" s="129">
        <v>29</v>
      </c>
      <c r="D47" s="278"/>
      <c r="E47" s="115" t="str">
        <f>+IFERROR(INDEX(Hoja1!$E$2:$E$45,MATCH('Análisis Resultados'!C47,Hoja1!$H$2:$H$45,0)),"")</f>
        <v>Identificación de información necesaria para la operación de la entidad (normograma, presupuesto, talento humano, infraestructura física y tecnológica)</v>
      </c>
      <c r="F47" s="116" t="str">
        <f>+IFERROR(VLOOKUP(C47,Hoja1!$H$2:$I$45,2,0),"")</f>
        <v>En proceso</v>
      </c>
      <c r="G47" s="127" t="str">
        <f t="shared" si="0"/>
        <v>Se encuentra en proceso, pero requiere continuar con acciones dirigidas a contar con dicho aspecto de control.</v>
      </c>
      <c r="I47" s="135">
        <f t="shared" si="1"/>
        <v>0.5</v>
      </c>
      <c r="J47" s="268"/>
    </row>
    <row r="48" spans="1:10" ht="66.75" customHeight="1" x14ac:dyDescent="0.2">
      <c r="A48" s="1"/>
      <c r="B48" s="1"/>
      <c r="C48" s="129">
        <v>30</v>
      </c>
      <c r="D48" s="278"/>
      <c r="E48" s="115" t="str">
        <f>+IFERROR(INDEX(Hoja1!$E$2:$E$45,MATCH('Análisis Resultados'!C48,Hoja1!$H$2:$H$45,0)),"")</f>
        <v>Si su capacidad e infraestructura lo permite, tecnologías de la información y las comunicaciones que soporten estos procesos</v>
      </c>
      <c r="F48" s="116" t="str">
        <f>+IFERROR(VLOOKUP(C48,Hoja1!$H$2:$I$45,2,0),"")</f>
        <v>En proceso</v>
      </c>
      <c r="G48" s="127" t="str">
        <f t="shared" si="0"/>
        <v>Se encuentra en proceso, pero requiere continuar con acciones dirigidas a contar con dicho aspecto de control.</v>
      </c>
      <c r="I48" s="135">
        <f t="shared" si="1"/>
        <v>0.5</v>
      </c>
      <c r="J48" s="268"/>
    </row>
    <row r="49" spans="1:10" ht="60" customHeight="1" x14ac:dyDescent="0.2">
      <c r="A49" s="1"/>
      <c r="B49" s="1"/>
      <c r="C49" s="129">
        <v>31</v>
      </c>
      <c r="D49" s="278"/>
      <c r="E49" s="115" t="str">
        <f>+IFERROR(INDEX(Hoja1!$E$2:$E$45,MATCH('Análisis Resultados'!C49,Hoja1!$H$2:$H$45,0)),"")</f>
        <v>Responsables de la información institucional</v>
      </c>
      <c r="F49" s="116" t="str">
        <f>+IFERROR(VLOOKUP(C49,Hoja1!$H$2:$I$45,2,0),"")</f>
        <v>Si</v>
      </c>
      <c r="G49" s="127" t="str">
        <f t="shared" si="0"/>
        <v>Existe requerimiento pero se requiere actividades  dirigidas a su mantenimiento dentro del marco de las lineas de defensa.</v>
      </c>
      <c r="I49" s="135">
        <f t="shared" si="1"/>
        <v>1</v>
      </c>
      <c r="J49" s="268"/>
    </row>
    <row r="50" spans="1:10" ht="57" customHeight="1" x14ac:dyDescent="0.2">
      <c r="A50" s="1"/>
      <c r="B50" s="1"/>
      <c r="C50" s="129">
        <v>32</v>
      </c>
      <c r="D50" s="278"/>
      <c r="E50" s="115" t="str">
        <f>+IFERROR(INDEX(Hoja1!$E$2:$E$45,MATCH('Análisis Resultados'!C50,Hoja1!$H$2:$H$45,0)),"")</f>
        <v>Canales de comunicación con los ciudadanos</v>
      </c>
      <c r="F50" s="116" t="str">
        <f>+IFERROR(VLOOKUP(C50,Hoja1!$H$2:$I$45,2,0),"")</f>
        <v>Si</v>
      </c>
      <c r="G50" s="127" t="str">
        <f t="shared" si="0"/>
        <v>Existe requerimiento pero se requiere actividades  dirigidas a su mantenimiento dentro del marco de las lineas de defensa.</v>
      </c>
      <c r="I50" s="135">
        <f t="shared" si="1"/>
        <v>1</v>
      </c>
      <c r="J50" s="268"/>
    </row>
    <row r="51" spans="1:10" ht="57" customHeight="1" x14ac:dyDescent="0.2">
      <c r="A51" s="1"/>
      <c r="B51" s="1"/>
      <c r="C51" s="129">
        <v>33</v>
      </c>
      <c r="D51" s="278"/>
      <c r="E51" s="115" t="str">
        <f>+IFERROR(INDEX(Hoja1!$E$2:$E$45,MATCH('Análisis Resultados'!C51,Hoja1!$H$2:$H$45,0)),"")</f>
        <v>Canales de comunicación o mecanismos de reporte de información a otros organismos gubernamentales o de control</v>
      </c>
      <c r="F51" s="116" t="str">
        <f>+IFERROR(VLOOKUP(C51,Hoja1!$H$2:$I$45,2,0),"")</f>
        <v>Si</v>
      </c>
      <c r="G51" s="127" t="str">
        <f t="shared" si="0"/>
        <v>Existe requerimiento pero se requiere actividades  dirigidas a su mantenimiento dentro del marco de las lineas de defensa.</v>
      </c>
      <c r="I51" s="135">
        <f t="shared" si="1"/>
        <v>1</v>
      </c>
      <c r="J51" s="268"/>
    </row>
    <row r="52" spans="1:10" ht="37" thickBot="1" x14ac:dyDescent="0.25">
      <c r="A52" s="1"/>
      <c r="B52" s="1"/>
      <c r="C52" s="129">
        <v>34</v>
      </c>
      <c r="D52" s="278"/>
      <c r="E52" s="121" t="str">
        <f>+IFERROR(INDEX(Hoja1!$E$2:$E$45,MATCH('Análisis Resultados'!C52,Hoja1!$H$2:$H$45,0)),"")</f>
        <v xml:space="preserve">Lineamientos para dar tratamiento a la información de carácter reservado </v>
      </c>
      <c r="F52" s="122" t="str">
        <f>+IFERROR(VLOOKUP(C52,Hoja1!$H$2:$I$45,2,0),"")</f>
        <v>Si</v>
      </c>
      <c r="G52" s="128" t="str">
        <f t="shared" si="0"/>
        <v>Existe requerimiento pero se requiere actividades  dirigidas a su mantenimiento dentro del marco de las lineas de defensa.</v>
      </c>
      <c r="I52" s="136">
        <f t="shared" si="1"/>
        <v>1</v>
      </c>
      <c r="J52" s="268"/>
    </row>
    <row r="53" spans="1:10" ht="41.25" customHeight="1" x14ac:dyDescent="0.2">
      <c r="A53" s="1"/>
      <c r="B53" s="1"/>
      <c r="C53" s="129">
        <v>35</v>
      </c>
      <c r="D53" s="272" t="s">
        <v>96</v>
      </c>
      <c r="E53" s="112" t="str">
        <f>+IFERROR(INDEX(Hoja1!$E$2:$E$45,MATCH('Análisis Resultados'!C53,Hoja1!$H$2:$H$45,0)),"")</f>
        <v>Controlar los puntos críticos en los procesos.</v>
      </c>
      <c r="F53" s="113" t="str">
        <f>+IFERROR(VLOOKUP(C53,Hoja1!$H$2:$I$45,2,0),"")</f>
        <v>En proceso</v>
      </c>
      <c r="G53" s="114" t="str">
        <f t="shared" si="0"/>
        <v>Se encuentra en proceso, pero requiere continuar con acciones dirigidas a contar con dicho aspecto de control.</v>
      </c>
      <c r="I53" s="130">
        <f t="shared" si="1"/>
        <v>0.5</v>
      </c>
      <c r="J53" s="275">
        <f>+AVERAGE(I53:I62)</f>
        <v>0.9</v>
      </c>
    </row>
    <row r="54" spans="1:10" ht="58.5" customHeight="1" x14ac:dyDescent="0.2">
      <c r="A54" s="1"/>
      <c r="B54" s="1"/>
      <c r="C54" s="129">
        <v>36</v>
      </c>
      <c r="D54" s="273"/>
      <c r="E54" s="115" t="str">
        <f>+IFERROR(INDEX(Hoja1!$E$2:$E$45,MATCH('Análisis Resultados'!C54,Hoja1!$H$2:$H$45,0)),"")</f>
        <v>Ejecutar las acciones de acuerdo a como se diseñaron previamente.</v>
      </c>
      <c r="F54" s="116" t="str">
        <f>+IFERROR(VLOOKUP(C54,Hoja1!$H$2:$I$45,2,0),"")</f>
        <v>En proceso</v>
      </c>
      <c r="G54" s="117" t="str">
        <f t="shared" si="0"/>
        <v>Se encuentra en proceso, pero requiere continuar con acciones dirigidas a contar con dicho aspecto de control.</v>
      </c>
      <c r="I54" s="131">
        <f t="shared" si="1"/>
        <v>0.5</v>
      </c>
      <c r="J54" s="276"/>
    </row>
    <row r="55" spans="1:10" s="1" customFormat="1" ht="84.75" customHeight="1" x14ac:dyDescent="0.2">
      <c r="C55" s="129">
        <v>37</v>
      </c>
      <c r="D55" s="273"/>
      <c r="E55" s="115" t="str">
        <f>+IFERROR(INDEX(Hoja1!$E$2:$E$45,MATCH('Análisis Resultados'!C55,Hoja1!$H$2:$H$45,0)),"")</f>
        <v>Mecanismos de evaluación de la gestión (cronogramas, indicadores, listas de chequeo u otros)</v>
      </c>
      <c r="F55" s="116" t="str">
        <f>+IFERROR(VLOOKUP(C55,Hoja1!$H$2:$I$45,2,0),"")</f>
        <v>Si</v>
      </c>
      <c r="G55" s="117" t="str">
        <f t="shared" si="0"/>
        <v>Existe requerimiento pero se requiere actividades  dirigidas a su mantenimiento dentro del marco de las lineas de defensa.</v>
      </c>
      <c r="I55" s="131">
        <f t="shared" si="1"/>
        <v>1</v>
      </c>
      <c r="J55" s="276"/>
    </row>
    <row r="56" spans="1:10" s="1" customFormat="1" ht="78.75" customHeight="1" x14ac:dyDescent="0.2">
      <c r="C56" s="129">
        <v>38</v>
      </c>
      <c r="D56" s="273"/>
      <c r="E56" s="115" t="str">
        <f>+IFERROR(INDEX(Hoja1!$E$2:$E$45,MATCH('Análisis Resultados'!C56,Hoja1!$H$2:$H$45,0)),"")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6" s="116" t="str">
        <f>+IFERROR(VLOOKUP(C56,Hoja1!$H$2:$I$45,2,0),"")</f>
        <v>Si</v>
      </c>
      <c r="G56" s="117" t="str">
        <f t="shared" si="0"/>
        <v>Existe requerimiento pero se requiere actividades  dirigidas a su mantenimiento dentro del marco de las lineas de defensa.</v>
      </c>
      <c r="I56" s="131">
        <f t="shared" si="1"/>
        <v>1</v>
      </c>
      <c r="J56" s="276"/>
    </row>
    <row r="57" spans="1:10" s="1" customFormat="1" ht="54.75" customHeight="1" x14ac:dyDescent="0.2">
      <c r="C57" s="129">
        <v>39</v>
      </c>
      <c r="D57" s="273"/>
      <c r="E57" s="115" t="str">
        <f>+IFERROR(INDEX(Hoja1!$E$2:$E$45,MATCH('Análisis Resultados'!C57,Hoja1!$H$2:$H$45,0)),"")</f>
        <v>Medidas correctivas en caso de detectarse deficiencias en los ejercicios de evaluación, seguimiento o auditoría</v>
      </c>
      <c r="F57" s="116" t="str">
        <f>+IFERROR(VLOOKUP(C57,Hoja1!$H$2:$I$45,2,0),"")</f>
        <v>Si</v>
      </c>
      <c r="G57" s="117" t="str">
        <f t="shared" si="0"/>
        <v>Existe requerimiento pero se requiere actividades  dirigidas a su mantenimiento dentro del marco de las lineas de defensa.</v>
      </c>
      <c r="I57" s="131">
        <f t="shared" si="1"/>
        <v>1</v>
      </c>
      <c r="J57" s="276"/>
    </row>
    <row r="58" spans="1:10" s="1" customFormat="1" ht="68.25" customHeight="1" x14ac:dyDescent="0.2">
      <c r="C58" s="129">
        <v>40</v>
      </c>
      <c r="D58" s="273"/>
      <c r="E58" s="115" t="str">
        <f>+IFERROR(INDEX(Hoja1!$E$2:$E$45,MATCH('Análisis Resultados'!C58,Hoja1!$H$2:$H$45,0)),"")</f>
        <v>Seguimiento a los planes de mejoramiento suscritos con instancias de control internas o externas</v>
      </c>
      <c r="F58" s="116" t="str">
        <f>+IFERROR(VLOOKUP(C58,Hoja1!$H$2:$I$45,2,0),"")</f>
        <v>Si</v>
      </c>
      <c r="G58" s="117" t="str">
        <f t="shared" si="0"/>
        <v>Existe requerimiento pero se requiere actividades  dirigidas a su mantenimiento dentro del marco de las lineas de defensa.</v>
      </c>
      <c r="I58" s="131">
        <f t="shared" si="1"/>
        <v>1</v>
      </c>
      <c r="J58" s="276"/>
    </row>
    <row r="59" spans="1:10" s="1" customFormat="1" ht="45" customHeight="1" x14ac:dyDescent="0.2">
      <c r="C59" s="129">
        <v>41</v>
      </c>
      <c r="D59" s="273"/>
      <c r="E59" s="115" t="str">
        <f>+IFERROR(INDEX(Hoja1!$E$2:$E$45,MATCH('Análisis Resultados'!C59,Hoja1!$H$2:$H$45,0)),"")</f>
        <v>La entidad participa en el  Comité Municipal de Auditoría?</v>
      </c>
      <c r="F59" s="116" t="str">
        <f>+IFERROR(VLOOKUP(C59,Hoja1!$H$2:$I$45,2,0),"")</f>
        <v>Si</v>
      </c>
      <c r="G59" s="117" t="str">
        <f t="shared" si="0"/>
        <v>Existe requerimiento pero se requiere actividades  dirigidas a su mantenimiento dentro del marco de las lineas de defensa.</v>
      </c>
      <c r="I59" s="131">
        <f t="shared" si="1"/>
        <v>1</v>
      </c>
      <c r="J59" s="276"/>
    </row>
    <row r="60" spans="1:10" s="1" customFormat="1" ht="51.75" customHeight="1" x14ac:dyDescent="0.2">
      <c r="C60" s="129">
        <v>42</v>
      </c>
      <c r="D60" s="273"/>
      <c r="E60" s="115" t="str">
        <f>+IFERROR(INDEX(Hoja1!$E$2:$E$45,MATCH('Análisis Resultados'!C60,Hoja1!$H$2:$H$45,0)),"")</f>
        <v>Evitar que los problemas (riesgos) obstaculicen el cumplimiento de los objetivos.</v>
      </c>
      <c r="F60" s="116" t="str">
        <f>+IFERROR(VLOOKUP(C60,Hoja1!$H$2:$I$45,2,0),"")</f>
        <v>Si</v>
      </c>
      <c r="G60" s="117" t="str">
        <f t="shared" si="0"/>
        <v>Existe requerimiento pero se requiere actividades  dirigidas a su mantenimiento dentro del marco de las lineas de defensa.</v>
      </c>
      <c r="I60" s="131">
        <f t="shared" si="1"/>
        <v>1</v>
      </c>
      <c r="J60" s="276"/>
    </row>
    <row r="61" spans="1:10" s="1" customFormat="1" ht="84" customHeight="1" x14ac:dyDescent="0.2">
      <c r="C61" s="129">
        <v>43</v>
      </c>
      <c r="D61" s="273"/>
      <c r="E61" s="115" t="str">
        <f>+IFERROR(INDEX(Hoja1!$E$2:$E$45,MATCH('Análisis Resultados'!C61,Hoja1!$H$2:$H$45,0)),"")</f>
        <v>Diseñar acciones adecuadas para controlar los problemas que afectan el cumplimiento de las metas y objetivos institucionales (riesgos).</v>
      </c>
      <c r="F61" s="116" t="str">
        <f>+IFERROR(VLOOKUP(C61,Hoja1!$H$2:$I$45,2,0),"")</f>
        <v>Si</v>
      </c>
      <c r="G61" s="117" t="str">
        <f t="shared" si="0"/>
        <v>Existe requerimiento pero se requiere actividades  dirigidas a su mantenimiento dentro del marco de las lineas de defensa.</v>
      </c>
      <c r="I61" s="131">
        <f t="shared" si="1"/>
        <v>1</v>
      </c>
      <c r="J61" s="276"/>
    </row>
    <row r="62" spans="1:10" s="1" customFormat="1" ht="60" customHeight="1" thickBot="1" x14ac:dyDescent="0.25">
      <c r="C62" s="129">
        <v>44</v>
      </c>
      <c r="D62" s="274"/>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77"/>
    </row>
    <row r="63" spans="1:10" s="1" customFormat="1" x14ac:dyDescent="0.2"/>
    <row r="64" spans="1:10" s="1" customFormat="1" x14ac:dyDescent="0.2"/>
    <row r="65" spans="1:2" s="1" customFormat="1" x14ac:dyDescent="0.2"/>
    <row r="66" spans="1:2" s="1" customFormat="1" x14ac:dyDescent="0.2"/>
    <row r="67" spans="1:2" s="1" customFormat="1" x14ac:dyDescent="0.2"/>
    <row r="68" spans="1:2" s="1" customFormat="1" x14ac:dyDescent="0.2"/>
    <row r="69" spans="1:2" s="1" customFormat="1" x14ac:dyDescent="0.2"/>
    <row r="70" spans="1:2" s="1" customFormat="1" x14ac:dyDescent="0.2"/>
    <row r="71" spans="1:2" x14ac:dyDescent="0.2">
      <c r="A71" s="1"/>
      <c r="B71" s="1"/>
    </row>
    <row r="72" spans="1:2" x14ac:dyDescent="0.2">
      <c r="A72" s="1"/>
      <c r="B72" s="1"/>
    </row>
    <row r="73" spans="1:2" x14ac:dyDescent="0.2">
      <c r="A73" s="1"/>
      <c r="B73" s="1"/>
    </row>
    <row r="74" spans="1:2" x14ac:dyDescent="0.2">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6" priority="4" operator="between">
      <formula>0.75</formula>
      <formula>1</formula>
    </cfRule>
    <cfRule type="cellIs" dxfId="15" priority="5" operator="between">
      <formula>0.5</formula>
      <formula>0.74</formula>
    </cfRule>
    <cfRule type="cellIs" dxfId="14" priority="6" operator="between">
      <formula>0</formula>
      <formula>0.49</formula>
    </cfRule>
  </conditionalFormatting>
  <conditionalFormatting sqref="J19:J31 J41 J46 J53">
    <cfRule type="cellIs" priority="1" operator="between">
      <formula>0.75</formula>
      <formula>1</formula>
    </cfRule>
    <cfRule type="cellIs" dxfId="13" priority="2" operator="between">
      <formula>0.5</formula>
      <formula>0.75</formula>
    </cfRule>
    <cfRule type="cellIs" dxfId="12"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F1" zoomScale="125" zoomScaleNormal="64" workbookViewId="0">
      <selection activeCell="I13" sqref="I13"/>
    </sheetView>
  </sheetViews>
  <sheetFormatPr baseColWidth="10" defaultColWidth="11.5" defaultRowHeight="15" x14ac:dyDescent="0.2"/>
  <cols>
    <col min="1" max="1" width="4.5" customWidth="1"/>
    <col min="3" max="3" width="35.5" customWidth="1"/>
    <col min="4" max="4" width="13" customWidth="1"/>
    <col min="5" max="5" width="43.33203125" customWidth="1"/>
    <col min="7" max="7" width="33.83203125" customWidth="1"/>
    <col min="9" max="9" width="92.33203125" customWidth="1"/>
    <col min="13" max="13" width="29" customWidth="1"/>
  </cols>
  <sheetData>
    <row r="1" spans="1:17" s="1" customFormat="1" x14ac:dyDescent="0.2"/>
    <row r="2" spans="1:17" ht="16" thickBot="1" x14ac:dyDescent="0.25">
      <c r="A2" s="1"/>
      <c r="B2" s="1"/>
      <c r="C2" s="1"/>
      <c r="D2" s="1"/>
      <c r="E2" s="1"/>
      <c r="F2" s="1"/>
      <c r="G2" s="1"/>
      <c r="H2" s="1"/>
      <c r="I2" s="1"/>
      <c r="J2" s="1"/>
      <c r="K2" s="1"/>
      <c r="L2" s="1"/>
      <c r="M2" s="1"/>
      <c r="N2" s="1"/>
      <c r="O2" s="1"/>
      <c r="P2" s="1"/>
      <c r="Q2" s="1"/>
    </row>
    <row r="3" spans="1:17" ht="16" thickTop="1" x14ac:dyDescent="0.2">
      <c r="A3" s="1"/>
      <c r="B3" s="2"/>
      <c r="C3" s="3"/>
      <c r="D3" s="3"/>
      <c r="E3" s="3"/>
      <c r="F3" s="3"/>
      <c r="G3" s="3"/>
      <c r="H3" s="3"/>
      <c r="I3" s="3"/>
      <c r="J3" s="3"/>
      <c r="K3" s="3"/>
      <c r="L3" s="3"/>
      <c r="M3" s="3"/>
      <c r="N3" s="3"/>
      <c r="O3" s="3"/>
      <c r="P3" s="4"/>
      <c r="Q3" s="1"/>
    </row>
    <row r="4" spans="1:17" x14ac:dyDescent="0.2">
      <c r="A4" s="1"/>
      <c r="B4" s="5"/>
      <c r="C4" s="1"/>
      <c r="D4" s="1"/>
      <c r="E4" s="301" t="s">
        <v>123</v>
      </c>
      <c r="F4" s="303" t="s">
        <v>198</v>
      </c>
      <c r="G4" s="303"/>
      <c r="H4" s="303"/>
      <c r="I4" s="303"/>
      <c r="J4" s="303"/>
      <c r="K4" s="303"/>
      <c r="L4" s="303"/>
      <c r="M4" s="303"/>
      <c r="N4" s="6"/>
      <c r="O4" s="6"/>
      <c r="P4" s="7"/>
      <c r="Q4" s="1"/>
    </row>
    <row r="5" spans="1:17" ht="45.75" customHeight="1" x14ac:dyDescent="0.2">
      <c r="A5" s="1"/>
      <c r="B5" s="5"/>
      <c r="C5" s="1"/>
      <c r="D5" s="1"/>
      <c r="E5" s="302"/>
      <c r="F5" s="303"/>
      <c r="G5" s="303"/>
      <c r="H5" s="303"/>
      <c r="I5" s="303"/>
      <c r="J5" s="303"/>
      <c r="K5" s="303"/>
      <c r="L5" s="303"/>
      <c r="M5" s="303"/>
      <c r="N5" s="6"/>
      <c r="O5" s="6"/>
      <c r="P5" s="7"/>
      <c r="Q5" s="1"/>
    </row>
    <row r="6" spans="1:17" ht="66.75" customHeight="1" x14ac:dyDescent="0.2">
      <c r="A6" s="1"/>
      <c r="B6" s="5"/>
      <c r="C6" s="1"/>
      <c r="D6" s="1"/>
      <c r="E6" s="88" t="s">
        <v>124</v>
      </c>
      <c r="F6" s="304" t="s">
        <v>243</v>
      </c>
      <c r="G6" s="305"/>
      <c r="H6" s="305"/>
      <c r="I6" s="305"/>
      <c r="J6" s="305"/>
      <c r="K6" s="305"/>
      <c r="L6" s="305"/>
      <c r="M6" s="306"/>
      <c r="N6" s="8"/>
      <c r="O6" s="8"/>
      <c r="P6" s="7"/>
      <c r="Q6" s="1"/>
    </row>
    <row r="7" spans="1:17" ht="16" thickBot="1" x14ac:dyDescent="0.25">
      <c r="A7" s="1"/>
      <c r="B7" s="5"/>
      <c r="C7" s="1"/>
      <c r="D7" s="1"/>
      <c r="E7" s="9"/>
      <c r="F7" s="8"/>
      <c r="G7" s="8"/>
      <c r="H7" s="8"/>
      <c r="I7" s="8"/>
      <c r="J7" s="8"/>
      <c r="K7" s="8"/>
      <c r="L7" s="8"/>
      <c r="M7" s="1"/>
      <c r="N7" s="1"/>
      <c r="O7" s="1"/>
      <c r="P7" s="7"/>
      <c r="Q7" s="1"/>
    </row>
    <row r="8" spans="1:17" ht="97.5" customHeight="1" thickBot="1" x14ac:dyDescent="0.25">
      <c r="A8" s="1"/>
      <c r="B8" s="5"/>
      <c r="C8" s="1"/>
      <c r="D8" s="1"/>
      <c r="E8" s="1"/>
      <c r="F8" s="1"/>
      <c r="G8" s="1"/>
      <c r="H8" s="1"/>
      <c r="I8" s="307" t="s">
        <v>125</v>
      </c>
      <c r="J8" s="308"/>
      <c r="K8" s="309"/>
      <c r="L8" s="1"/>
      <c r="M8" s="137">
        <f>+AVERAGE(G26,G28,G30,G32,G34)</f>
        <v>0.92714285714285727</v>
      </c>
      <c r="N8" s="10"/>
      <c r="O8" s="10"/>
      <c r="P8" s="7"/>
      <c r="Q8" s="1"/>
    </row>
    <row r="9" spans="1:17" ht="16" x14ac:dyDescent="0.2">
      <c r="A9" s="1"/>
      <c r="B9" s="5"/>
      <c r="C9" s="1"/>
      <c r="D9" s="1"/>
      <c r="E9" s="1"/>
      <c r="F9" s="1"/>
      <c r="G9" s="1"/>
      <c r="H9" s="1"/>
      <c r="I9" s="1"/>
      <c r="J9" s="1"/>
      <c r="K9" s="1"/>
      <c r="L9" s="1"/>
      <c r="M9" s="11"/>
      <c r="N9" s="11"/>
      <c r="O9" s="11"/>
      <c r="P9" s="7"/>
      <c r="Q9" s="1"/>
    </row>
    <row r="10" spans="1:17" x14ac:dyDescent="0.2">
      <c r="A10" s="1"/>
      <c r="B10" s="5"/>
      <c r="C10" s="1"/>
      <c r="D10" s="1"/>
      <c r="E10" s="1"/>
      <c r="F10" s="1"/>
      <c r="G10" s="1"/>
      <c r="H10" s="1"/>
      <c r="I10" s="1"/>
      <c r="J10" s="1"/>
      <c r="K10" s="1"/>
      <c r="L10" s="1"/>
      <c r="M10" s="1"/>
      <c r="N10" s="1"/>
      <c r="O10" s="1"/>
      <c r="P10" s="7"/>
      <c r="Q10" s="1"/>
    </row>
    <row r="11" spans="1:17" x14ac:dyDescent="0.2">
      <c r="A11" s="1"/>
      <c r="B11" s="5"/>
      <c r="C11" s="1"/>
      <c r="D11" s="1"/>
      <c r="E11" s="1"/>
      <c r="F11" s="1"/>
      <c r="G11" s="1"/>
      <c r="H11" s="1"/>
      <c r="I11" s="1"/>
      <c r="J11" s="1"/>
      <c r="K11" s="1"/>
      <c r="L11" s="1"/>
      <c r="M11" s="1"/>
      <c r="N11" s="1"/>
      <c r="O11" s="1"/>
      <c r="P11" s="7"/>
      <c r="Q11" s="1"/>
    </row>
    <row r="12" spans="1:17" x14ac:dyDescent="0.2">
      <c r="A12" s="1"/>
      <c r="B12" s="5"/>
      <c r="C12" s="1"/>
      <c r="D12" s="1"/>
      <c r="E12" s="1"/>
      <c r="F12" s="1"/>
      <c r="G12" s="1"/>
      <c r="H12" s="1"/>
      <c r="I12" s="1"/>
      <c r="J12" s="1"/>
      <c r="K12" s="1"/>
      <c r="L12" s="1"/>
      <c r="M12" s="1"/>
      <c r="N12" s="1"/>
      <c r="O12" s="1"/>
      <c r="P12" s="7"/>
      <c r="Q12" s="1"/>
    </row>
    <row r="13" spans="1:17" x14ac:dyDescent="0.2">
      <c r="A13" s="1"/>
      <c r="B13" s="5"/>
      <c r="C13" s="1"/>
      <c r="D13" s="1"/>
      <c r="E13" s="1"/>
      <c r="F13" s="1"/>
      <c r="G13" s="1"/>
      <c r="H13" s="1"/>
      <c r="I13" s="1"/>
      <c r="J13" s="1"/>
      <c r="K13" s="1"/>
      <c r="L13" s="1"/>
      <c r="M13" s="1"/>
      <c r="N13" s="1"/>
      <c r="O13" s="1"/>
      <c r="P13" s="7"/>
      <c r="Q13" s="1"/>
    </row>
    <row r="14" spans="1:17" x14ac:dyDescent="0.2">
      <c r="A14" s="1"/>
      <c r="B14" s="5"/>
      <c r="C14" s="1"/>
      <c r="D14" s="1"/>
      <c r="E14" s="1"/>
      <c r="F14" s="1"/>
      <c r="G14" s="1"/>
      <c r="H14" s="1"/>
      <c r="I14" s="1"/>
      <c r="J14" s="1"/>
      <c r="K14" s="1"/>
      <c r="L14" s="1"/>
      <c r="M14" s="1"/>
      <c r="N14" s="1"/>
      <c r="O14" s="1"/>
      <c r="P14" s="7"/>
      <c r="Q14" s="1"/>
    </row>
    <row r="15" spans="1:17" x14ac:dyDescent="0.2">
      <c r="A15" s="1"/>
      <c r="B15" s="5"/>
      <c r="C15" s="1"/>
      <c r="D15" s="1"/>
      <c r="E15" s="1"/>
      <c r="F15" s="1"/>
      <c r="G15" s="1"/>
      <c r="H15" s="1"/>
      <c r="I15" s="1"/>
      <c r="J15" s="1"/>
      <c r="K15" s="1"/>
      <c r="L15" s="1"/>
      <c r="M15" s="1"/>
      <c r="N15" s="1"/>
      <c r="O15" s="1"/>
      <c r="P15" s="7"/>
      <c r="Q15" s="1"/>
    </row>
    <row r="16" spans="1:17" x14ac:dyDescent="0.2">
      <c r="A16" s="1"/>
      <c r="B16" s="5"/>
      <c r="C16" s="1"/>
      <c r="D16" s="1"/>
      <c r="E16" s="1"/>
      <c r="F16" s="1"/>
      <c r="G16" s="1"/>
      <c r="H16" s="1"/>
      <c r="I16" s="1"/>
      <c r="J16" s="1"/>
      <c r="K16" s="1"/>
      <c r="L16" s="1"/>
      <c r="M16" s="1"/>
      <c r="N16" s="1"/>
      <c r="O16" s="1"/>
      <c r="P16" s="7"/>
      <c r="Q16" s="1"/>
    </row>
    <row r="17" spans="1:17" x14ac:dyDescent="0.2">
      <c r="A17" s="1"/>
      <c r="B17" s="5"/>
      <c r="C17" s="1"/>
      <c r="D17" s="1"/>
      <c r="E17" s="1"/>
      <c r="F17" s="1"/>
      <c r="G17" s="1"/>
      <c r="H17" s="1"/>
      <c r="I17" s="1"/>
      <c r="J17" s="1"/>
      <c r="K17" s="1"/>
      <c r="L17" s="1"/>
      <c r="M17" s="1"/>
      <c r="N17" s="1"/>
      <c r="O17" s="1"/>
      <c r="P17" s="7"/>
      <c r="Q17" s="1"/>
    </row>
    <row r="18" spans="1:17" ht="23" x14ac:dyDescent="0.2">
      <c r="A18" s="1"/>
      <c r="B18" s="5"/>
      <c r="C18" s="310" t="s">
        <v>126</v>
      </c>
      <c r="D18" s="311"/>
      <c r="E18" s="311"/>
      <c r="F18" s="311"/>
      <c r="G18" s="311"/>
      <c r="H18" s="311"/>
      <c r="I18" s="311"/>
      <c r="J18" s="311"/>
      <c r="K18" s="311"/>
      <c r="L18" s="311"/>
      <c r="M18" s="312"/>
      <c r="N18" s="12"/>
      <c r="O18" s="12"/>
      <c r="P18" s="7"/>
      <c r="Q18" s="1"/>
    </row>
    <row r="19" spans="1:17" ht="17" thickBot="1" x14ac:dyDescent="0.25">
      <c r="A19" s="1"/>
      <c r="B19" s="5"/>
      <c r="C19" s="13"/>
      <c r="D19" s="13"/>
      <c r="E19" s="13"/>
      <c r="F19" s="13"/>
      <c r="G19" s="13"/>
      <c r="H19" s="13"/>
      <c r="I19" s="13"/>
      <c r="J19" s="13"/>
      <c r="K19" s="13"/>
      <c r="L19" s="13"/>
      <c r="M19" s="13"/>
      <c r="N19" s="14"/>
      <c r="O19" s="14"/>
      <c r="P19" s="7"/>
      <c r="Q19" s="1"/>
    </row>
    <row r="20" spans="1:17" ht="150" customHeight="1" x14ac:dyDescent="0.2">
      <c r="A20" s="1"/>
      <c r="B20" s="5"/>
      <c r="C20" s="313" t="s">
        <v>127</v>
      </c>
      <c r="D20" s="314"/>
      <c r="E20" s="140" t="s">
        <v>38</v>
      </c>
      <c r="F20" s="315" t="s">
        <v>195</v>
      </c>
      <c r="G20" s="315"/>
      <c r="H20" s="315"/>
      <c r="I20" s="315"/>
      <c r="J20" s="315"/>
      <c r="K20" s="315"/>
      <c r="L20" s="315"/>
      <c r="M20" s="316"/>
      <c r="N20" s="14"/>
      <c r="O20" s="14"/>
      <c r="P20" s="7"/>
      <c r="Q20" s="1"/>
    </row>
    <row r="21" spans="1:17" ht="126.75" customHeight="1" x14ac:dyDescent="0.2">
      <c r="A21" s="1"/>
      <c r="B21" s="5"/>
      <c r="C21" s="297" t="s">
        <v>128</v>
      </c>
      <c r="D21" s="298"/>
      <c r="E21" s="141" t="s">
        <v>38</v>
      </c>
      <c r="F21" s="317" t="s">
        <v>196</v>
      </c>
      <c r="G21" s="317"/>
      <c r="H21" s="317"/>
      <c r="I21" s="317"/>
      <c r="J21" s="317"/>
      <c r="K21" s="317"/>
      <c r="L21" s="317"/>
      <c r="M21" s="318"/>
      <c r="N21" s="14"/>
      <c r="O21" s="14"/>
      <c r="P21" s="7"/>
      <c r="Q21" s="1"/>
    </row>
    <row r="22" spans="1:17" ht="151.5" customHeight="1" thickBot="1" x14ac:dyDescent="0.25">
      <c r="A22" s="1"/>
      <c r="B22" s="5"/>
      <c r="C22" s="299" t="s">
        <v>129</v>
      </c>
      <c r="D22" s="300"/>
      <c r="E22" s="142" t="s">
        <v>38</v>
      </c>
      <c r="F22" s="319" t="s">
        <v>197</v>
      </c>
      <c r="G22" s="319"/>
      <c r="H22" s="319"/>
      <c r="I22" s="319"/>
      <c r="J22" s="319"/>
      <c r="K22" s="319"/>
      <c r="L22" s="319"/>
      <c r="M22" s="320"/>
      <c r="N22" s="14"/>
      <c r="O22" s="14"/>
      <c r="P22" s="7"/>
      <c r="Q22" s="1"/>
    </row>
    <row r="23" spans="1:17" x14ac:dyDescent="0.2">
      <c r="A23" s="1"/>
      <c r="B23" s="5"/>
      <c r="C23" s="1"/>
      <c r="D23" s="1"/>
      <c r="E23" s="1"/>
      <c r="F23" s="1"/>
      <c r="G23" s="15"/>
      <c r="H23" s="1"/>
      <c r="I23" s="1"/>
      <c r="J23" s="1"/>
      <c r="K23" s="1"/>
      <c r="L23" s="1"/>
      <c r="M23" s="1"/>
      <c r="N23" s="1"/>
      <c r="O23" s="1"/>
      <c r="P23" s="7"/>
      <c r="Q23" s="1"/>
    </row>
    <row r="24" spans="1:17" ht="78" x14ac:dyDescent="0.2">
      <c r="A24" s="1"/>
      <c r="B24" s="5"/>
      <c r="C24" s="91" t="s">
        <v>130</v>
      </c>
      <c r="D24" s="92"/>
      <c r="E24" s="91" t="s">
        <v>131</v>
      </c>
      <c r="F24" s="92"/>
      <c r="G24" s="91" t="s">
        <v>132</v>
      </c>
      <c r="H24" s="92"/>
      <c r="I24" s="288" t="s">
        <v>133</v>
      </c>
      <c r="J24" s="288"/>
      <c r="K24" s="288"/>
      <c r="L24" s="288"/>
      <c r="M24" s="288"/>
      <c r="N24" s="30"/>
      <c r="O24" s="30"/>
      <c r="P24" s="7"/>
      <c r="Q24" s="16"/>
    </row>
    <row r="25" spans="1:17" ht="13.5" customHeight="1" thickBot="1" x14ac:dyDescent="0.25">
      <c r="A25" s="1"/>
      <c r="B25" s="5"/>
      <c r="C25" s="29"/>
      <c r="I25" s="295"/>
      <c r="J25" s="295"/>
      <c r="K25" s="295"/>
      <c r="L25" s="295"/>
      <c r="M25" s="295"/>
      <c r="N25" s="31"/>
      <c r="O25" s="31"/>
      <c r="P25" s="7"/>
      <c r="Q25" s="1"/>
    </row>
    <row r="26" spans="1:17" ht="197.25" customHeight="1" thickBot="1" x14ac:dyDescent="0.25">
      <c r="A26" s="1"/>
      <c r="B26" s="5"/>
      <c r="C26" s="82" t="s">
        <v>32</v>
      </c>
      <c r="D26" s="17"/>
      <c r="E26" s="138" t="str">
        <f>+IF(Hoja1!K2&gt;=0.5,"Si","No")</f>
        <v>Si</v>
      </c>
      <c r="F26" s="18"/>
      <c r="G26" s="139">
        <f>+Hoja1!K2</f>
        <v>1</v>
      </c>
      <c r="H26" s="18"/>
      <c r="I26" s="289" t="s">
        <v>190</v>
      </c>
      <c r="J26" s="290"/>
      <c r="K26" s="290"/>
      <c r="L26" s="290"/>
      <c r="M26" s="291"/>
      <c r="N26" s="32"/>
      <c r="O26" s="33"/>
      <c r="P26" s="19"/>
      <c r="Q26" s="20"/>
    </row>
    <row r="27" spans="1:17" ht="27" thickBot="1" x14ac:dyDescent="0.35">
      <c r="A27" s="1"/>
      <c r="B27" s="5"/>
      <c r="C27" s="83"/>
      <c r="E27" s="90"/>
      <c r="G27" s="21"/>
      <c r="I27" s="296"/>
      <c r="J27" s="296"/>
      <c r="K27" s="296"/>
      <c r="L27" s="296"/>
      <c r="M27" s="296"/>
      <c r="N27" s="34"/>
      <c r="O27" s="34"/>
      <c r="P27" s="7"/>
      <c r="Q27" s="1"/>
    </row>
    <row r="28" spans="1:17" ht="171.75" customHeight="1" thickBot="1" x14ac:dyDescent="0.25">
      <c r="A28" s="1"/>
      <c r="B28" s="5"/>
      <c r="C28" s="84" t="s">
        <v>134</v>
      </c>
      <c r="D28" s="17"/>
      <c r="E28" s="138" t="str">
        <f>+IF(Hoja1!K14&gt;=0.5,"Si","No")</f>
        <v>Si</v>
      </c>
      <c r="G28" s="139">
        <f>+Hoja1!K14</f>
        <v>0.95</v>
      </c>
      <c r="I28" s="292" t="s">
        <v>191</v>
      </c>
      <c r="J28" s="293"/>
      <c r="K28" s="293"/>
      <c r="L28" s="293"/>
      <c r="M28" s="294"/>
      <c r="N28" s="32"/>
      <c r="O28" s="32"/>
      <c r="P28" s="7"/>
      <c r="Q28" s="1"/>
    </row>
    <row r="29" spans="1:17" ht="27" thickBot="1" x14ac:dyDescent="0.35">
      <c r="A29" s="1"/>
      <c r="B29" s="5"/>
      <c r="C29" s="83"/>
      <c r="E29" s="90"/>
      <c r="G29" s="21"/>
      <c r="I29" s="296"/>
      <c r="J29" s="296"/>
      <c r="K29" s="296"/>
      <c r="L29" s="296"/>
      <c r="M29" s="296"/>
      <c r="N29" s="34"/>
      <c r="O29" s="34"/>
      <c r="P29" s="7"/>
      <c r="Q29" s="1"/>
    </row>
    <row r="30" spans="1:17" ht="123" customHeight="1" thickBot="1" x14ac:dyDescent="0.25">
      <c r="A30" s="1"/>
      <c r="B30" s="5"/>
      <c r="C30" s="85" t="s">
        <v>135</v>
      </c>
      <c r="D30" s="17"/>
      <c r="E30" s="138" t="str">
        <f>+IF(Hoja1!K24&gt;=0.5,"Si","No")</f>
        <v>Si</v>
      </c>
      <c r="G30" s="139">
        <f>+Hoja1!K24</f>
        <v>1</v>
      </c>
      <c r="I30" s="285" t="s">
        <v>192</v>
      </c>
      <c r="J30" s="286"/>
      <c r="K30" s="286"/>
      <c r="L30" s="286"/>
      <c r="M30" s="287"/>
      <c r="N30" s="32"/>
      <c r="O30" s="32"/>
      <c r="P30" s="7"/>
      <c r="Q30" s="1"/>
    </row>
    <row r="31" spans="1:17" ht="27" thickBot="1" x14ac:dyDescent="0.35">
      <c r="A31" s="1"/>
      <c r="B31" s="5"/>
      <c r="C31" s="83"/>
      <c r="E31" s="90"/>
      <c r="G31" s="21"/>
      <c r="I31" s="296"/>
      <c r="J31" s="296"/>
      <c r="K31" s="296"/>
      <c r="L31" s="296"/>
      <c r="M31" s="296"/>
      <c r="N31" s="34"/>
      <c r="O31" s="34"/>
      <c r="P31" s="7"/>
      <c r="Q31" s="1"/>
    </row>
    <row r="32" spans="1:17" ht="223.5" customHeight="1" thickBot="1" x14ac:dyDescent="0.25">
      <c r="A32" s="1"/>
      <c r="B32" s="5"/>
      <c r="C32" s="86" t="s">
        <v>86</v>
      </c>
      <c r="D32" s="17"/>
      <c r="E32" s="138" t="str">
        <f>+IF(Hoja1!K29&gt;=0.5,"Si","No")</f>
        <v>Si</v>
      </c>
      <c r="G32" s="139">
        <f>+Hoja1!K29</f>
        <v>0.7857142857142857</v>
      </c>
      <c r="I32" s="285" t="s">
        <v>193</v>
      </c>
      <c r="J32" s="286"/>
      <c r="K32" s="286"/>
      <c r="L32" s="286"/>
      <c r="M32" s="287"/>
      <c r="N32" s="32"/>
      <c r="O32" s="32"/>
      <c r="P32" s="7"/>
      <c r="Q32" s="1"/>
    </row>
    <row r="33" spans="1:17" ht="27" thickBot="1" x14ac:dyDescent="0.35">
      <c r="A33" s="1"/>
      <c r="B33" s="5"/>
      <c r="C33" s="83"/>
      <c r="E33" s="90"/>
      <c r="G33" s="21"/>
      <c r="I33" s="296"/>
      <c r="J33" s="296"/>
      <c r="K33" s="296"/>
      <c r="L33" s="296"/>
      <c r="M33" s="296"/>
      <c r="N33" s="34"/>
      <c r="O33" s="34"/>
      <c r="P33" s="7"/>
      <c r="Q33" s="1"/>
    </row>
    <row r="34" spans="1:17" ht="205.5" customHeight="1" thickBot="1" x14ac:dyDescent="0.25">
      <c r="A34" s="1"/>
      <c r="B34" s="5"/>
      <c r="C34" s="87" t="s">
        <v>136</v>
      </c>
      <c r="D34" s="17"/>
      <c r="E34" s="89" t="str">
        <f>+IF(Hoja1!K36&gt;=0.5,"Si","No")</f>
        <v>Si</v>
      </c>
      <c r="G34" s="139">
        <f>+Hoja1!K36</f>
        <v>0.9</v>
      </c>
      <c r="I34" s="285" t="s">
        <v>194</v>
      </c>
      <c r="J34" s="286"/>
      <c r="K34" s="286"/>
      <c r="L34" s="286"/>
      <c r="M34" s="287"/>
      <c r="N34" s="32"/>
      <c r="O34" s="32"/>
      <c r="P34" s="7"/>
      <c r="Q34" s="1"/>
    </row>
    <row r="35" spans="1:17" ht="16" x14ac:dyDescent="0.2">
      <c r="A35" s="1"/>
      <c r="B35" s="5"/>
      <c r="C35" s="22"/>
      <c r="D35" s="22"/>
      <c r="E35" s="14"/>
      <c r="F35" s="1"/>
      <c r="G35" s="1"/>
      <c r="H35" s="1"/>
      <c r="I35" s="1"/>
      <c r="J35" s="1"/>
      <c r="K35" s="1"/>
      <c r="L35" s="1"/>
      <c r="M35" s="23"/>
      <c r="N35" s="23"/>
      <c r="O35" s="23"/>
      <c r="P35" s="7"/>
      <c r="Q35" s="1"/>
    </row>
    <row r="36" spans="1:17" ht="16" x14ac:dyDescent="0.2">
      <c r="A36" s="1"/>
      <c r="B36" s="5"/>
      <c r="C36" s="24"/>
      <c r="D36" s="22"/>
      <c r="E36" s="14"/>
      <c r="F36" s="1"/>
      <c r="G36" s="1"/>
      <c r="H36" s="1"/>
      <c r="I36" s="1"/>
      <c r="J36" s="1"/>
      <c r="K36" s="1"/>
      <c r="L36" s="1"/>
      <c r="M36" s="23"/>
      <c r="N36" s="23"/>
      <c r="O36" s="23"/>
      <c r="P36" s="7"/>
      <c r="Q36" s="1"/>
    </row>
    <row r="37" spans="1:17" x14ac:dyDescent="0.2">
      <c r="A37" s="1"/>
      <c r="B37" s="5"/>
      <c r="C37" s="25"/>
      <c r="D37" s="1"/>
      <c r="E37" s="1"/>
      <c r="F37" s="1"/>
      <c r="G37" s="1"/>
      <c r="H37" s="1"/>
      <c r="I37" s="1"/>
      <c r="J37" s="1"/>
      <c r="K37" s="1"/>
      <c r="L37" s="1"/>
      <c r="M37" s="1"/>
      <c r="N37" s="1"/>
      <c r="O37" s="1"/>
      <c r="P37" s="7"/>
      <c r="Q37" s="1"/>
    </row>
    <row r="38" spans="1:17" ht="16" thickBot="1" x14ac:dyDescent="0.25">
      <c r="A38" s="1"/>
      <c r="B38" s="26"/>
      <c r="C38" s="27"/>
      <c r="D38" s="27"/>
      <c r="E38" s="27"/>
      <c r="F38" s="27"/>
      <c r="G38" s="27"/>
      <c r="H38" s="27"/>
      <c r="I38" s="27"/>
      <c r="J38" s="27"/>
      <c r="K38" s="27"/>
      <c r="L38" s="27"/>
      <c r="M38" s="27"/>
      <c r="N38" s="27"/>
      <c r="O38" s="27"/>
      <c r="P38" s="28"/>
      <c r="Q38" s="1"/>
    </row>
    <row r="39" spans="1:17" ht="16" thickTop="1"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27" operator="between">
      <formula>0.76</formula>
      <formula>1</formula>
    </cfRule>
    <cfRule type="cellIs" dxfId="2" priority="28" operator="between">
      <formula>0.51</formula>
      <formula>0.75</formula>
    </cfRule>
    <cfRule type="cellIs" dxfId="1" priority="29" operator="between">
      <formula>0.26</formula>
      <formula>0.5</formula>
    </cfRule>
    <cfRule type="cellIs" dxfId="0"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'/Users/camilatorres/Desktop/Users\dell\Desktop\cesar\HISTORICOS\[2020-04-22_Formato_informe_sci_parametrizado_final.xlsx]Analisis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5" defaultRowHeight="15" x14ac:dyDescent="0.2"/>
  <cols>
    <col min="2" max="2" width="31" bestFit="1" customWidth="1"/>
    <col min="3" max="3" width="17.1640625" customWidth="1"/>
    <col min="5" max="5" width="15.1640625" customWidth="1"/>
    <col min="10" max="10" width="15.6640625" customWidth="1"/>
    <col min="11" max="11" width="12" bestFit="1" customWidth="1"/>
  </cols>
  <sheetData>
    <row r="1" spans="1:11" ht="84.75" customHeight="1" x14ac:dyDescent="0.2">
      <c r="A1" s="143" t="s">
        <v>25</v>
      </c>
      <c r="B1" s="143" t="s">
        <v>6</v>
      </c>
      <c r="C1" s="144" t="s">
        <v>8</v>
      </c>
      <c r="D1" s="145" t="s">
        <v>26</v>
      </c>
      <c r="E1" s="145" t="s">
        <v>27</v>
      </c>
      <c r="F1" s="145" t="s">
        <v>137</v>
      </c>
      <c r="G1" s="146" t="s">
        <v>138</v>
      </c>
      <c r="H1" s="146" t="s">
        <v>139</v>
      </c>
      <c r="I1" s="146" t="s">
        <v>118</v>
      </c>
      <c r="J1" s="146" t="s">
        <v>140</v>
      </c>
      <c r="K1" s="146" t="s">
        <v>141</v>
      </c>
    </row>
    <row r="2" spans="1:11" x14ac:dyDescent="0.2">
      <c r="A2" s="147" t="s">
        <v>142</v>
      </c>
      <c r="B2" s="147" t="str">
        <f>+VLOOKUP(A2,'Estado SCI'!$A$16:$C$59,3,0)</f>
        <v>AMBIENTE DE CONTROL</v>
      </c>
      <c r="C2" s="147" t="s">
        <v>33</v>
      </c>
      <c r="D2" s="147" t="s">
        <v>34</v>
      </c>
      <c r="E2" s="147" t="s">
        <v>35</v>
      </c>
      <c r="F2" s="147" t="str">
        <f>+VLOOKUP(A2,'Estado SCI'!$A$16:$I$59,9,0)</f>
        <v>Mantenimiento del control</v>
      </c>
      <c r="G2" s="147">
        <f>+VLOOKUP(A2,'Estado SCI'!$A$16:$L$59,12,0)</f>
        <v>20.123000000000001</v>
      </c>
      <c r="H2" s="147">
        <f t="shared" ref="H2:H45" si="0">+_xlfn.RANK.EQ(G2,$G$2:$G$45,1)</f>
        <v>1</v>
      </c>
      <c r="I2" s="147" t="str">
        <f>+IF(VLOOKUP(A2,'Estado SCI'!$A$16:$G$59,7,0)="","",VLOOKUP(A2,'Estado SCI'!$A$16:$G$59,7,0))</f>
        <v>Si</v>
      </c>
      <c r="J2" s="148">
        <f>+IF(I2="Si",1,IF(I2="En proceso",0.5,0))</f>
        <v>1</v>
      </c>
      <c r="K2" s="149">
        <f t="shared" ref="K2:K45" si="1">+AVERAGEIF($B$2:$B$45,B2,$J$2:$J$45)</f>
        <v>1</v>
      </c>
    </row>
    <row r="3" spans="1:11" x14ac:dyDescent="0.2">
      <c r="A3" s="147" t="s">
        <v>143</v>
      </c>
      <c r="B3" s="147" t="s">
        <v>32</v>
      </c>
      <c r="C3" s="147" t="s">
        <v>33</v>
      </c>
      <c r="D3" s="147" t="s">
        <v>36</v>
      </c>
      <c r="E3" s="147" t="s">
        <v>37</v>
      </c>
      <c r="F3" s="147" t="str">
        <f>+VLOOKUP(A3,'Estado SCI'!$A$16:$I$59,9,0)</f>
        <v>Mantenimiento del control</v>
      </c>
      <c r="G3" s="147">
        <f>+VLOOKUP(A3,'Estado SCI'!$A$16:$L$59,12,0)</f>
        <v>20.1234</v>
      </c>
      <c r="H3" s="147">
        <f t="shared" si="0"/>
        <v>2</v>
      </c>
      <c r="I3" s="147" t="str">
        <f>+IF(VLOOKUP(A3,'Estado SCI'!$A$16:$G$59,7,0)="","",VLOOKUP(A3,'Estado SCI'!$A$16:$G$59,7,0))</f>
        <v>Si</v>
      </c>
      <c r="J3" s="148">
        <f t="shared" ref="J3:J45" si="2">+IF(I3="Si",1,IF(I3="En proceso",0.5,0))</f>
        <v>1</v>
      </c>
      <c r="K3" s="149">
        <f t="shared" si="1"/>
        <v>1</v>
      </c>
    </row>
    <row r="4" spans="1:11" x14ac:dyDescent="0.2">
      <c r="A4" s="147" t="s">
        <v>144</v>
      </c>
      <c r="B4" s="147" t="s">
        <v>32</v>
      </c>
      <c r="C4" s="147" t="s">
        <v>33</v>
      </c>
      <c r="D4" s="147" t="s">
        <v>39</v>
      </c>
      <c r="E4" s="147" t="s">
        <v>40</v>
      </c>
      <c r="F4" s="147" t="str">
        <f>+VLOOKUP(A4,'Estado SCI'!$A$16:$I$59,9,0)</f>
        <v>Mantenimiento del control</v>
      </c>
      <c r="G4" s="147">
        <f>+VLOOKUP(A4,'Estado SCI'!$A$16:$L$59,12,0)</f>
        <v>20.123449999999998</v>
      </c>
      <c r="H4" s="147">
        <f t="shared" si="0"/>
        <v>3</v>
      </c>
      <c r="I4" s="147" t="str">
        <f>+IF(VLOOKUP(A4,'Estado SCI'!$A$16:$G$59,7,0)="","",VLOOKUP(A4,'Estado SCI'!$A$16:$G$59,7,0))</f>
        <v>Si</v>
      </c>
      <c r="J4" s="148">
        <f t="shared" si="2"/>
        <v>1</v>
      </c>
      <c r="K4" s="149">
        <f t="shared" si="1"/>
        <v>1</v>
      </c>
    </row>
    <row r="5" spans="1:11" x14ac:dyDescent="0.2">
      <c r="A5" s="147" t="s">
        <v>145</v>
      </c>
      <c r="B5" s="147" t="s">
        <v>32</v>
      </c>
      <c r="C5" s="147" t="s">
        <v>33</v>
      </c>
      <c r="D5" s="147" t="s">
        <v>41</v>
      </c>
      <c r="E5" s="147" t="s">
        <v>42</v>
      </c>
      <c r="F5" s="147" t="str">
        <f>+VLOOKUP(A5,'Estado SCI'!$A$16:$I$59,9,0)</f>
        <v>Mantenimiento del control</v>
      </c>
      <c r="G5" s="147">
        <f>+VLOOKUP(A5,'Estado SCI'!$A$16:$L$59,12,0)</f>
        <v>20.123456000000001</v>
      </c>
      <c r="H5" s="147">
        <f t="shared" si="0"/>
        <v>4</v>
      </c>
      <c r="I5" s="147" t="str">
        <f>+IF(VLOOKUP(A5,'Estado SCI'!$A$16:$G$59,7,0)="","",VLOOKUP(A5,'Estado SCI'!$A$16:$G$59,7,0))</f>
        <v>Si</v>
      </c>
      <c r="J5" s="148">
        <f t="shared" si="2"/>
        <v>1</v>
      </c>
      <c r="K5" s="149">
        <f t="shared" si="1"/>
        <v>1</v>
      </c>
    </row>
    <row r="6" spans="1:11" x14ac:dyDescent="0.2">
      <c r="A6" s="147" t="s">
        <v>146</v>
      </c>
      <c r="B6" s="147" t="s">
        <v>32</v>
      </c>
      <c r="C6" s="147" t="s">
        <v>33</v>
      </c>
      <c r="D6" s="147" t="s">
        <v>43</v>
      </c>
      <c r="E6" s="147" t="s">
        <v>44</v>
      </c>
      <c r="F6" s="147" t="str">
        <f>+VLOOKUP(A6,'Estado SCI'!$A$16:$I$59,9,0)</f>
        <v>Mantenimiento del control</v>
      </c>
      <c r="G6" s="147">
        <f>+VLOOKUP(A6,'Estado SCI'!$A$16:$L$59,12,0)</f>
        <v>20.123456780000001</v>
      </c>
      <c r="H6" s="147">
        <f t="shared" si="0"/>
        <v>5</v>
      </c>
      <c r="I6" s="147" t="str">
        <f>+IF(VLOOKUP(A6,'Estado SCI'!$A$16:$G$59,7,0)="","",VLOOKUP(A6,'Estado SCI'!$A$16:$G$59,7,0))</f>
        <v>Si</v>
      </c>
      <c r="J6" s="148">
        <f t="shared" si="2"/>
        <v>1</v>
      </c>
      <c r="K6" s="149">
        <f t="shared" si="1"/>
        <v>1</v>
      </c>
    </row>
    <row r="7" spans="1:11" x14ac:dyDescent="0.2">
      <c r="A7" s="147" t="s">
        <v>147</v>
      </c>
      <c r="B7" s="147" t="s">
        <v>32</v>
      </c>
      <c r="C7" s="147" t="s">
        <v>33</v>
      </c>
      <c r="D7" s="147" t="s">
        <v>45</v>
      </c>
      <c r="E7" s="147" t="s">
        <v>46</v>
      </c>
      <c r="F7" s="147" t="str">
        <f>+VLOOKUP(A7,'Estado SCI'!$A$16:$I$59,9,0)</f>
        <v>Mantenimiento del control</v>
      </c>
      <c r="G7" s="147">
        <f>+VLOOKUP(A7,'Estado SCI'!$A$16:$L$59,12,0)</f>
        <v>20.123456788999999</v>
      </c>
      <c r="H7" s="147">
        <f t="shared" si="0"/>
        <v>6</v>
      </c>
      <c r="I7" s="147" t="str">
        <f>+IF(VLOOKUP(A7,'Estado SCI'!$A$16:$G$59,7,0)="","",VLOOKUP(A7,'Estado SCI'!$A$16:$G$59,7,0))</f>
        <v>Si</v>
      </c>
      <c r="J7" s="148">
        <f t="shared" si="2"/>
        <v>1</v>
      </c>
      <c r="K7" s="149">
        <f t="shared" si="1"/>
        <v>1</v>
      </c>
    </row>
    <row r="8" spans="1:11" x14ac:dyDescent="0.2">
      <c r="A8" s="147" t="s">
        <v>148</v>
      </c>
      <c r="B8" s="147" t="s">
        <v>32</v>
      </c>
      <c r="C8" s="147" t="s">
        <v>33</v>
      </c>
      <c r="D8" s="147" t="s">
        <v>47</v>
      </c>
      <c r="E8" s="147" t="s">
        <v>48</v>
      </c>
      <c r="F8" s="147" t="str">
        <f>+VLOOKUP(A8,'Estado SCI'!$A$16:$I$59,9,0)</f>
        <v>Mantenimiento del control</v>
      </c>
      <c r="G8" s="147">
        <f>+VLOOKUP(A8,'Estado SCI'!$A$16:$L$59,12,0)</f>
        <v>20.1234567891</v>
      </c>
      <c r="H8" s="147">
        <f t="shared" si="0"/>
        <v>7</v>
      </c>
      <c r="I8" s="147" t="str">
        <f>+IF(VLOOKUP(A8,'Estado SCI'!$A$16:$G$59,7,0)="","",VLOOKUP(A8,'Estado SCI'!$A$16:$G$59,7,0))</f>
        <v>Si</v>
      </c>
      <c r="J8" s="148">
        <f t="shared" si="2"/>
        <v>1</v>
      </c>
      <c r="K8" s="149">
        <f t="shared" si="1"/>
        <v>1</v>
      </c>
    </row>
    <row r="9" spans="1:11" x14ac:dyDescent="0.2">
      <c r="A9" s="147" t="s">
        <v>149</v>
      </c>
      <c r="B9" s="147" t="s">
        <v>32</v>
      </c>
      <c r="C9" s="147" t="s">
        <v>33</v>
      </c>
      <c r="D9" s="147" t="s">
        <v>49</v>
      </c>
      <c r="E9" s="147" t="s">
        <v>50</v>
      </c>
      <c r="F9" s="147" t="str">
        <f>+VLOOKUP(A9,'Estado SCI'!$A$16:$I$59,9,0)</f>
        <v>Mantenimiento del control</v>
      </c>
      <c r="G9" s="147">
        <f>+VLOOKUP(A9,'Estado SCI'!$A$16:$L$59,12,0)</f>
        <v>20.123456789119999</v>
      </c>
      <c r="H9" s="147">
        <f t="shared" si="0"/>
        <v>8</v>
      </c>
      <c r="I9" s="147" t="str">
        <f>+IF(VLOOKUP(A9,'Estado SCI'!$A$16:$G$59,7,0)="","",VLOOKUP(A9,'Estado SCI'!$A$16:$G$59,7,0))</f>
        <v>Si</v>
      </c>
      <c r="J9" s="148">
        <f t="shared" si="2"/>
        <v>1</v>
      </c>
      <c r="K9" s="149">
        <f t="shared" si="1"/>
        <v>1</v>
      </c>
    </row>
    <row r="10" spans="1:11" x14ac:dyDescent="0.2">
      <c r="A10" s="147" t="s">
        <v>150</v>
      </c>
      <c r="B10" s="147" t="s">
        <v>32</v>
      </c>
      <c r="C10" s="147" t="s">
        <v>33</v>
      </c>
      <c r="D10" s="147" t="s">
        <v>51</v>
      </c>
      <c r="E10" s="147" t="s">
        <v>52</v>
      </c>
      <c r="F10" s="147" t="str">
        <f>+VLOOKUP(A10,'Estado SCI'!$A$16:$I$59,9,0)</f>
        <v>Mantenimiento del control</v>
      </c>
      <c r="G10" s="147">
        <f>+VLOOKUP(A10,'Estado SCI'!$A$16:$L$59,12,0)</f>
        <v>20.123456789123001</v>
      </c>
      <c r="H10" s="147">
        <f t="shared" si="0"/>
        <v>9</v>
      </c>
      <c r="I10" s="147" t="str">
        <f>+IF(VLOOKUP(A10,'Estado SCI'!$A$16:$G$59,7,0)="","",VLOOKUP(A10,'Estado SCI'!$A$16:$G$59,7,0))</f>
        <v>Si</v>
      </c>
      <c r="J10" s="148">
        <f t="shared" si="2"/>
        <v>1</v>
      </c>
      <c r="K10" s="149">
        <f t="shared" si="1"/>
        <v>1</v>
      </c>
    </row>
    <row r="11" spans="1:11" x14ac:dyDescent="0.2">
      <c r="A11" s="147" t="s">
        <v>151</v>
      </c>
      <c r="B11" s="147" t="s">
        <v>32</v>
      </c>
      <c r="C11" s="147" t="s">
        <v>33</v>
      </c>
      <c r="D11" s="147" t="s">
        <v>53</v>
      </c>
      <c r="E11" s="147" t="s">
        <v>54</v>
      </c>
      <c r="F11" s="147" t="str">
        <f>+VLOOKUP(A11,'Estado SCI'!$A$16:$I$59,9,0)</f>
        <v>Mantenimiento del control</v>
      </c>
      <c r="G11" s="147">
        <f>+VLOOKUP(A11,'Estado SCI'!$A$16:$L$59,12,0)</f>
        <v>20.123456789123399</v>
      </c>
      <c r="H11" s="147">
        <f t="shared" si="0"/>
        <v>10</v>
      </c>
      <c r="I11" s="147" t="str">
        <f>+IF(VLOOKUP(A11,'Estado SCI'!$A$16:$G$59,7,0)="","",VLOOKUP(A11,'Estado SCI'!$A$16:$G$59,7,0))</f>
        <v>Si</v>
      </c>
      <c r="J11" s="148">
        <f t="shared" si="2"/>
        <v>1</v>
      </c>
      <c r="K11" s="149">
        <f t="shared" si="1"/>
        <v>1</v>
      </c>
    </row>
    <row r="12" spans="1:11" x14ac:dyDescent="0.2">
      <c r="A12" s="147" t="s">
        <v>152</v>
      </c>
      <c r="B12" s="147" t="s">
        <v>32</v>
      </c>
      <c r="C12" s="147" t="s">
        <v>33</v>
      </c>
      <c r="D12" s="147" t="s">
        <v>55</v>
      </c>
      <c r="E12" s="147" t="s">
        <v>56</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1</v>
      </c>
    </row>
    <row r="13" spans="1:11" x14ac:dyDescent="0.2">
      <c r="A13" s="147" t="s">
        <v>153</v>
      </c>
      <c r="B13" s="147" t="s">
        <v>32</v>
      </c>
      <c r="C13" s="147" t="s">
        <v>33</v>
      </c>
      <c r="D13" s="147" t="s">
        <v>57</v>
      </c>
      <c r="E13" s="147" t="s">
        <v>58</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1</v>
      </c>
    </row>
    <row r="14" spans="1:11" ht="15" customHeight="1" x14ac:dyDescent="0.2">
      <c r="A14" s="147" t="s">
        <v>154</v>
      </c>
      <c r="B14" s="147" t="str">
        <f>+VLOOKUP(A14,'Estado SCI'!$A$16:$C$59,3,0)</f>
        <v>EVALUACION DEL RIESGO</v>
      </c>
      <c r="C14" s="147" t="s">
        <v>61</v>
      </c>
      <c r="D14" s="147" t="s">
        <v>34</v>
      </c>
      <c r="E14" s="147" t="s">
        <v>155</v>
      </c>
      <c r="F14" s="147" t="str">
        <f>+VLOOKUP(A14,'Estado SCI'!$A$16:$I$59,9,0)</f>
        <v>Mantenimiento del control</v>
      </c>
      <c r="G14" s="147">
        <f>+VLOOKUP(A14,'Estado SCI'!$A$16:$L$59,12,0)</f>
        <v>40.229999999999997</v>
      </c>
      <c r="H14" s="147">
        <f t="shared" si="0"/>
        <v>14</v>
      </c>
      <c r="I14" s="147" t="str">
        <f>+IF(VLOOKUP(A14,'Estado SCI'!$A$16:$G$59,7,0)="","",VLOOKUP(A14,'Estado SCI'!$A$16:$G$59,7,0))</f>
        <v>Si</v>
      </c>
      <c r="J14" s="148">
        <f t="shared" si="2"/>
        <v>1</v>
      </c>
      <c r="K14" s="149">
        <f t="shared" si="1"/>
        <v>0.95</v>
      </c>
    </row>
    <row r="15" spans="1:11" ht="15" customHeight="1" x14ac:dyDescent="0.2">
      <c r="A15" s="147" t="s">
        <v>156</v>
      </c>
      <c r="B15" s="147" t="s">
        <v>60</v>
      </c>
      <c r="C15" s="147" t="s">
        <v>61</v>
      </c>
      <c r="D15" s="147" t="s">
        <v>36</v>
      </c>
      <c r="E15" s="147" t="s">
        <v>157</v>
      </c>
      <c r="F15" s="147" t="str">
        <f>+VLOOKUP(A15,'Estado SCI'!$A$16:$I$59,9,0)</f>
        <v>Mantenimiento del control</v>
      </c>
      <c r="G15" s="147">
        <f>+VLOOKUP(A15,'Estado SCI'!$A$16:$L$59,12,0)</f>
        <v>40.234000000000002</v>
      </c>
      <c r="H15" s="147">
        <f t="shared" si="0"/>
        <v>15</v>
      </c>
      <c r="I15" s="147" t="str">
        <f>+IF(VLOOKUP(A15,'Estado SCI'!$A$16:$G$59,7,0)="","",VLOOKUP(A15,'Estado SCI'!$A$16:$G$59,7,0))</f>
        <v>Si</v>
      </c>
      <c r="J15" s="148">
        <f t="shared" si="2"/>
        <v>1</v>
      </c>
      <c r="K15" s="149">
        <f t="shared" si="1"/>
        <v>0.95</v>
      </c>
    </row>
    <row r="16" spans="1:11" ht="15" customHeight="1" x14ac:dyDescent="0.2">
      <c r="A16" s="147" t="s">
        <v>158</v>
      </c>
      <c r="B16" s="147" t="s">
        <v>60</v>
      </c>
      <c r="C16" s="147" t="s">
        <v>61</v>
      </c>
      <c r="D16" s="147" t="s">
        <v>39</v>
      </c>
      <c r="E16" s="147" t="s">
        <v>159</v>
      </c>
      <c r="F16" s="147" t="str">
        <f>+VLOOKUP(A16,'Estado SCI'!$A$16:$I$59,9,0)</f>
        <v>Mantenimiento del control</v>
      </c>
      <c r="G16" s="147">
        <f>+VLOOKUP(A16,'Estado SCI'!$A$16:$L$59,12,0)</f>
        <v>40.234499999999997</v>
      </c>
      <c r="H16" s="147">
        <f t="shared" si="0"/>
        <v>16</v>
      </c>
      <c r="I16" s="147" t="str">
        <f>+IF(VLOOKUP(A16,'Estado SCI'!$A$16:$G$59,7,0)="","",VLOOKUP(A16,'Estado SCI'!$A$16:$G$59,7,0))</f>
        <v>Si</v>
      </c>
      <c r="J16" s="148">
        <f t="shared" si="2"/>
        <v>1</v>
      </c>
      <c r="K16" s="149">
        <f t="shared" si="1"/>
        <v>0.95</v>
      </c>
    </row>
    <row r="17" spans="1:11" ht="15.75" customHeight="1" x14ac:dyDescent="0.2">
      <c r="A17" s="147" t="s">
        <v>160</v>
      </c>
      <c r="B17" s="147" t="s">
        <v>60</v>
      </c>
      <c r="C17" s="147" t="s">
        <v>61</v>
      </c>
      <c r="D17" s="147" t="s">
        <v>41</v>
      </c>
      <c r="E17" s="147" t="s">
        <v>65</v>
      </c>
      <c r="F17" s="147" t="str">
        <f>+VLOOKUP(A17,'Estado SCI'!$A$16:$I$59,9,0)</f>
        <v>Mantenimiento del control</v>
      </c>
      <c r="G17" s="147">
        <f>+VLOOKUP(A17,'Estado SCI'!$A$16:$L$59,12,0)</f>
        <v>40.234560000000002</v>
      </c>
      <c r="H17" s="147">
        <f t="shared" si="0"/>
        <v>17</v>
      </c>
      <c r="I17" s="147" t="str">
        <f>+IF(VLOOKUP(A17,'Estado SCI'!$A$16:$G$59,7,0)="","",VLOOKUP(A17,'Estado SCI'!$A$16:$G$59,7,0))</f>
        <v>Si</v>
      </c>
      <c r="J17" s="148">
        <f t="shared" si="2"/>
        <v>1</v>
      </c>
      <c r="K17" s="149">
        <f t="shared" si="1"/>
        <v>0.95</v>
      </c>
    </row>
    <row r="18" spans="1:11" ht="15" customHeight="1" x14ac:dyDescent="0.2">
      <c r="A18" s="147" t="s">
        <v>161</v>
      </c>
      <c r="B18" s="147" t="s">
        <v>60</v>
      </c>
      <c r="C18" s="147" t="s">
        <v>79</v>
      </c>
      <c r="D18" s="147" t="s">
        <v>34</v>
      </c>
      <c r="E18" s="147" t="s">
        <v>68</v>
      </c>
      <c r="F18" s="147" t="str">
        <f>+VLOOKUP(A18,'Estado SCI'!$A$16:$I$59,9,0)</f>
        <v>Mantenimiento del control</v>
      </c>
      <c r="G18" s="147">
        <f>+VLOOKUP(A18,'Estado SCI'!$A$16:$L$59,12,0)</f>
        <v>40.234566999999998</v>
      </c>
      <c r="H18" s="147">
        <f t="shared" si="0"/>
        <v>18</v>
      </c>
      <c r="I18" s="147" t="str">
        <f>+IF(VLOOKUP(A18,'Estado SCI'!$A$16:$G$59,7,0)="","",VLOOKUP(A18,'Estado SCI'!$A$16:$G$59,7,0))</f>
        <v>Si</v>
      </c>
      <c r="J18" s="148">
        <f t="shared" si="2"/>
        <v>1</v>
      </c>
      <c r="K18" s="149">
        <f t="shared" si="1"/>
        <v>0.95</v>
      </c>
    </row>
    <row r="19" spans="1:11" ht="15" customHeight="1" x14ac:dyDescent="0.2">
      <c r="A19" s="147" t="s">
        <v>162</v>
      </c>
      <c r="B19" s="147" t="s">
        <v>60</v>
      </c>
      <c r="C19" s="147" t="s">
        <v>79</v>
      </c>
      <c r="D19" s="147" t="s">
        <v>36</v>
      </c>
      <c r="E19" s="147" t="s">
        <v>69</v>
      </c>
      <c r="F19" s="147" t="str">
        <f>+VLOOKUP(A19,'Estado SCI'!$A$16:$I$59,9,0)</f>
        <v>Mantenimiento del control</v>
      </c>
      <c r="G19" s="147">
        <f>+VLOOKUP(A19,'Estado SCI'!$A$16:$L$59,12,0)</f>
        <v>40.234567800000001</v>
      </c>
      <c r="H19" s="147">
        <f t="shared" si="0"/>
        <v>19</v>
      </c>
      <c r="I19" s="147" t="str">
        <f>+IF(VLOOKUP(A19,'Estado SCI'!$A$16:$G$59,7,0)="","",VLOOKUP(A19,'Estado SCI'!$A$16:$G$59,7,0))</f>
        <v>Si</v>
      </c>
      <c r="J19" s="148">
        <f t="shared" si="2"/>
        <v>1</v>
      </c>
      <c r="K19" s="149">
        <f t="shared" si="1"/>
        <v>0.95</v>
      </c>
    </row>
    <row r="20" spans="1:11" ht="15" customHeight="1" x14ac:dyDescent="0.2">
      <c r="A20" s="147" t="s">
        <v>163</v>
      </c>
      <c r="B20" s="147" t="s">
        <v>60</v>
      </c>
      <c r="C20" s="147" t="s">
        <v>79</v>
      </c>
      <c r="D20" s="147" t="s">
        <v>39</v>
      </c>
      <c r="E20" s="147" t="s">
        <v>70</v>
      </c>
      <c r="F20" s="147" t="str">
        <f>+VLOOKUP(A20,'Estado SCI'!$A$16:$I$59,9,0)</f>
        <v>Mantenimiento del control</v>
      </c>
      <c r="G20" s="147">
        <f>+VLOOKUP(A20,'Estado SCI'!$A$16:$L$59,12,0)</f>
        <v>40.234567890000001</v>
      </c>
      <c r="H20" s="147">
        <f t="shared" si="0"/>
        <v>20</v>
      </c>
      <c r="I20" s="147" t="str">
        <f>+IF(VLOOKUP(A20,'Estado SCI'!$A$16:$G$59,7,0)="","",VLOOKUP(A20,'Estado SCI'!$A$16:$G$59,7,0))</f>
        <v>Si</v>
      </c>
      <c r="J20" s="148">
        <f t="shared" si="2"/>
        <v>1</v>
      </c>
      <c r="K20" s="149">
        <f t="shared" si="1"/>
        <v>0.95</v>
      </c>
    </row>
    <row r="21" spans="1:11" ht="15.75" customHeight="1" x14ac:dyDescent="0.2">
      <c r="A21" s="147" t="s">
        <v>164</v>
      </c>
      <c r="B21" s="147" t="s">
        <v>60</v>
      </c>
      <c r="C21" s="147" t="s">
        <v>79</v>
      </c>
      <c r="D21" s="147" t="s">
        <v>34</v>
      </c>
      <c r="E21" s="147" t="s">
        <v>73</v>
      </c>
      <c r="F21" s="147" t="str">
        <f>+VLOOKUP(A21,'Estado SCI'!$A$16:$I$59,9,0)</f>
        <v>Mantenimiento del control</v>
      </c>
      <c r="G21" s="147">
        <f>+VLOOKUP(A21,'Estado SCI'!$A$16:$L$59,12,0)</f>
        <v>40.234567891200001</v>
      </c>
      <c r="H21" s="147">
        <f t="shared" si="0"/>
        <v>21</v>
      </c>
      <c r="I21" s="147" t="str">
        <f>+IF(VLOOKUP(A21,'Estado SCI'!$A$16:$G$59,7,0)="","",VLOOKUP(A21,'Estado SCI'!$A$16:$G$59,7,0))</f>
        <v>Si</v>
      </c>
      <c r="J21" s="148">
        <f t="shared" si="2"/>
        <v>1</v>
      </c>
      <c r="K21" s="149">
        <f t="shared" si="1"/>
        <v>0.95</v>
      </c>
    </row>
    <row r="22" spans="1:11" ht="15" customHeight="1" x14ac:dyDescent="0.2">
      <c r="A22" s="147" t="s">
        <v>165</v>
      </c>
      <c r="B22" s="147" t="s">
        <v>60</v>
      </c>
      <c r="C22" s="147" t="s">
        <v>87</v>
      </c>
      <c r="D22" s="147" t="s">
        <v>36</v>
      </c>
      <c r="E22" s="147" t="s">
        <v>74</v>
      </c>
      <c r="F22" s="147" t="str">
        <f>+VLOOKUP(A22,'Estado SCI'!$A$16:$I$59,9,0)</f>
        <v>Oportunidad de mejora</v>
      </c>
      <c r="G22" s="147">
        <f>+VLOOKUP(A22,'Estado SCI'!$A$16:$L$59,12,0)</f>
        <v>30.23456789123</v>
      </c>
      <c r="H22" s="147">
        <f t="shared" si="0"/>
        <v>13</v>
      </c>
      <c r="I22" s="147" t="str">
        <f>+IF(VLOOKUP(A22,'Estado SCI'!$A$16:$G$59,7,0)="","",VLOOKUP(A22,'Estado SCI'!$A$16:$G$59,7,0))</f>
        <v>En proceso</v>
      </c>
      <c r="J22" s="148">
        <f t="shared" si="2"/>
        <v>0.5</v>
      </c>
      <c r="K22" s="149">
        <f t="shared" si="1"/>
        <v>0.95</v>
      </c>
    </row>
    <row r="23" spans="1:11" ht="15" customHeight="1" x14ac:dyDescent="0.2">
      <c r="A23" s="147" t="s">
        <v>166</v>
      </c>
      <c r="B23" s="147" t="s">
        <v>60</v>
      </c>
      <c r="C23" s="147" t="s">
        <v>87</v>
      </c>
      <c r="D23" s="147" t="s">
        <v>39</v>
      </c>
      <c r="E23" s="147" t="s">
        <v>76</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0.95</v>
      </c>
    </row>
    <row r="24" spans="1:11" ht="15" customHeight="1" x14ac:dyDescent="0.2">
      <c r="A24" s="147" t="s">
        <v>167</v>
      </c>
      <c r="B24" s="147" t="str">
        <f>+VLOOKUP(A24,'Estado SCI'!$A$16:$C$59,3,0)</f>
        <v>ACTIVIDADES DE CONTROL</v>
      </c>
      <c r="C24" s="147" t="s">
        <v>87</v>
      </c>
      <c r="D24" s="147" t="s">
        <v>34</v>
      </c>
      <c r="E24" s="147" t="s">
        <v>80</v>
      </c>
      <c r="F24" s="147" t="str">
        <f>+VLOOKUP(A24,'Estado SCI'!$A$16:$I$59,9,0)</f>
        <v>Mantenimiento del control</v>
      </c>
      <c r="G24" s="147">
        <f>+VLOOKUP(A24,'Estado SCI'!$A$16:$L$59,12,0)</f>
        <v>60.31</v>
      </c>
      <c r="H24" s="147">
        <f t="shared" si="0"/>
        <v>23</v>
      </c>
      <c r="I24" s="147" t="str">
        <f>+IF(VLOOKUP(A24,'Estado SCI'!$A$16:$G$59,7,0)="","",VLOOKUP(A24,'Estado SCI'!$A$16:$G$59,7,0))</f>
        <v>Si</v>
      </c>
      <c r="J24" s="148">
        <f t="shared" si="2"/>
        <v>1</v>
      </c>
      <c r="K24" s="149">
        <f t="shared" si="1"/>
        <v>1</v>
      </c>
    </row>
    <row r="25" spans="1:11" ht="15" customHeight="1" x14ac:dyDescent="0.2">
      <c r="A25" s="147" t="s">
        <v>168</v>
      </c>
      <c r="B25" s="147" t="s">
        <v>78</v>
      </c>
      <c r="C25" s="147" t="s">
        <v>87</v>
      </c>
      <c r="D25" s="147" t="s">
        <v>36</v>
      </c>
      <c r="E25" s="147" t="s">
        <v>81</v>
      </c>
      <c r="F25" s="147" t="str">
        <f>+VLOOKUP(A25,'Estado SCI'!$A$16:$I$59,9,0)</f>
        <v>Mantenimiento del control</v>
      </c>
      <c r="G25" s="147">
        <f>+VLOOKUP(A25,'Estado SCI'!$A$16:$L$59,12,0)</f>
        <v>60.323</v>
      </c>
      <c r="H25" s="147">
        <f t="shared" si="0"/>
        <v>24</v>
      </c>
      <c r="I25" s="147" t="str">
        <f>+IF(VLOOKUP(A25,'Estado SCI'!$A$16:$G$59,7,0)="","",VLOOKUP(A25,'Estado SCI'!$A$16:$G$59,7,0))</f>
        <v>Si</v>
      </c>
      <c r="J25" s="148">
        <f t="shared" si="2"/>
        <v>1</v>
      </c>
      <c r="K25" s="149">
        <f t="shared" si="1"/>
        <v>1</v>
      </c>
    </row>
    <row r="26" spans="1:11" ht="15" customHeight="1" x14ac:dyDescent="0.2">
      <c r="A26" s="147" t="s">
        <v>169</v>
      </c>
      <c r="B26" s="147" t="s">
        <v>78</v>
      </c>
      <c r="C26" s="147" t="s">
        <v>87</v>
      </c>
      <c r="D26" s="147" t="s">
        <v>39</v>
      </c>
      <c r="E26" s="147" t="s">
        <v>82</v>
      </c>
      <c r="F26" s="147" t="str">
        <f>+VLOOKUP(A26,'Estado SCI'!$A$16:$I$59,9,0)</f>
        <v>Mantenimiento del control</v>
      </c>
      <c r="G26" s="147">
        <f>+VLOOKUP(A26,'Estado SCI'!$A$16:$L$59,12,0)</f>
        <v>60.323999999999998</v>
      </c>
      <c r="H26" s="147">
        <f t="shared" si="0"/>
        <v>25</v>
      </c>
      <c r="I26" s="147" t="str">
        <f>+IF(VLOOKUP(A26,'Estado SCI'!$A$16:$G$59,7,0)="","",VLOOKUP(A26,'Estado SCI'!$A$16:$G$59,7,0))</f>
        <v>Si</v>
      </c>
      <c r="J26" s="148">
        <f t="shared" si="2"/>
        <v>1</v>
      </c>
      <c r="K26" s="149">
        <f t="shared" si="1"/>
        <v>1</v>
      </c>
    </row>
    <row r="27" spans="1:11" ht="15.75" customHeight="1" x14ac:dyDescent="0.2">
      <c r="A27" s="147" t="s">
        <v>170</v>
      </c>
      <c r="B27" s="147" t="s">
        <v>78</v>
      </c>
      <c r="C27" s="147" t="s">
        <v>87</v>
      </c>
      <c r="D27" s="147" t="s">
        <v>41</v>
      </c>
      <c r="E27" s="147" t="s">
        <v>83</v>
      </c>
      <c r="F27" s="147" t="str">
        <f>+VLOOKUP(A27,'Estado SCI'!$A$16:$I$59,9,0)</f>
        <v>Mantenimiento del control</v>
      </c>
      <c r="G27" s="147">
        <f>+VLOOKUP(A27,'Estado SCI'!$A$16:$L$59,12,0)</f>
        <v>60.325000000000003</v>
      </c>
      <c r="H27" s="147">
        <f t="shared" si="0"/>
        <v>26</v>
      </c>
      <c r="I27" s="147" t="str">
        <f>+IF(VLOOKUP(A27,'Estado SCI'!$A$16:$G$59,7,0)="","",VLOOKUP(A27,'Estado SCI'!$A$16:$G$59,7,0))</f>
        <v>Si</v>
      </c>
      <c r="J27" s="148">
        <f t="shared" si="2"/>
        <v>1</v>
      </c>
      <c r="K27" s="149">
        <f t="shared" si="1"/>
        <v>1</v>
      </c>
    </row>
    <row r="28" spans="1:11" ht="15" customHeight="1" x14ac:dyDescent="0.2">
      <c r="A28" s="147" t="s">
        <v>171</v>
      </c>
      <c r="B28" s="147" t="s">
        <v>78</v>
      </c>
      <c r="C28" s="147" t="s">
        <v>97</v>
      </c>
      <c r="D28" s="147" t="s">
        <v>43</v>
      </c>
      <c r="E28" s="147" t="s">
        <v>84</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1</v>
      </c>
    </row>
    <row r="29" spans="1:11" ht="15" customHeight="1" x14ac:dyDescent="0.2">
      <c r="A29" s="147" t="s">
        <v>172</v>
      </c>
      <c r="B29" s="147" t="str">
        <f>+VLOOKUP(A29,'Estado SCI'!$A$16:$C$59,3,0)</f>
        <v>INFORMACION Y COMUNICACIÓN</v>
      </c>
      <c r="C29" s="147" t="s">
        <v>97</v>
      </c>
      <c r="D29" s="147" t="s">
        <v>34</v>
      </c>
      <c r="E29" s="147" t="s">
        <v>88</v>
      </c>
      <c r="F29" s="147" t="str">
        <f>+VLOOKUP(A29,'Estado SCI'!$A$16:$I$59,9,0)</f>
        <v>Mantenimiento del control</v>
      </c>
      <c r="G29" s="147">
        <f>+VLOOKUP(A29,'Estado SCI'!$A$16:$L$59,12,0)</f>
        <v>80.412000000000006</v>
      </c>
      <c r="H29" s="147">
        <f t="shared" si="0"/>
        <v>31</v>
      </c>
      <c r="I29" s="147" t="str">
        <f>+IF(VLOOKUP(A29,'Estado SCI'!$A$16:$G$59,7,0)="","",VLOOKUP(A29,'Estado SCI'!$A$16:$G$59,7,0))</f>
        <v>Si</v>
      </c>
      <c r="J29" s="148">
        <f t="shared" si="2"/>
        <v>1</v>
      </c>
      <c r="K29" s="149">
        <f t="shared" si="1"/>
        <v>0.7857142857142857</v>
      </c>
    </row>
    <row r="30" spans="1:11" ht="15" customHeight="1" x14ac:dyDescent="0.2">
      <c r="A30" s="147" t="s">
        <v>173</v>
      </c>
      <c r="B30" s="147" t="s">
        <v>86</v>
      </c>
      <c r="C30" s="147" t="s">
        <v>97</v>
      </c>
      <c r="D30" s="147" t="s">
        <v>36</v>
      </c>
      <c r="E30" s="147" t="s">
        <v>89</v>
      </c>
      <c r="F30" s="147" t="str">
        <f>+VLOOKUP(A30,'Estado SCI'!$A$16:$I$59,9,0)</f>
        <v>Mantenimiento del control</v>
      </c>
      <c r="G30" s="147">
        <f>+VLOOKUP(A30,'Estado SCI'!$A$16:$L$59,12,0)</f>
        <v>80.412300000000002</v>
      </c>
      <c r="H30" s="147">
        <f t="shared" si="0"/>
        <v>32</v>
      </c>
      <c r="I30" s="147" t="str">
        <f>+IF(VLOOKUP(A30,'Estado SCI'!$A$16:$G$59,7,0)="","",VLOOKUP(A30,'Estado SCI'!$A$16:$G$59,7,0))</f>
        <v>Si</v>
      </c>
      <c r="J30" s="148">
        <f t="shared" si="2"/>
        <v>1</v>
      </c>
      <c r="K30" s="149">
        <f t="shared" si="1"/>
        <v>0.7857142857142857</v>
      </c>
    </row>
    <row r="31" spans="1:11" ht="15.75" customHeight="1" x14ac:dyDescent="0.2">
      <c r="A31" s="147" t="s">
        <v>174</v>
      </c>
      <c r="B31" s="147" t="s">
        <v>86</v>
      </c>
      <c r="C31" s="147" t="s">
        <v>97</v>
      </c>
      <c r="D31" s="147" t="s">
        <v>39</v>
      </c>
      <c r="E31" s="147" t="s">
        <v>90</v>
      </c>
      <c r="F31" s="147" t="str">
        <f>+VLOOKUP(A31,'Estado SCI'!$A$16:$I$59,9,0)</f>
        <v>Mantenimiento del control</v>
      </c>
      <c r="G31" s="147">
        <f>+VLOOKUP(A31,'Estado SCI'!$A$16:$L$59,12,0)</f>
        <v>80.41234</v>
      </c>
      <c r="H31" s="147">
        <f t="shared" si="0"/>
        <v>33</v>
      </c>
      <c r="I31" s="147" t="str">
        <f>+IF(VLOOKUP(A31,'Estado SCI'!$A$16:$G$59,7,0)="","",VLOOKUP(A31,'Estado SCI'!$A$16:$G$59,7,0))</f>
        <v>Si</v>
      </c>
      <c r="J31" s="148">
        <f t="shared" si="2"/>
        <v>1</v>
      </c>
      <c r="K31" s="149">
        <f t="shared" si="1"/>
        <v>0.7857142857142857</v>
      </c>
    </row>
    <row r="32" spans="1:11" x14ac:dyDescent="0.2">
      <c r="A32" s="147" t="s">
        <v>175</v>
      </c>
      <c r="B32" s="147" t="s">
        <v>86</v>
      </c>
      <c r="C32" s="147" t="s">
        <v>103</v>
      </c>
      <c r="D32" s="147" t="s">
        <v>41</v>
      </c>
      <c r="E32" s="147" t="s">
        <v>91</v>
      </c>
      <c r="F32" s="147" t="str">
        <f>+VLOOKUP(A32,'Estado SCI'!$A$16:$I$59,9,0)</f>
        <v>Mantenimiento del control</v>
      </c>
      <c r="G32" s="147">
        <f>+VLOOKUP(A32,'Estado SCI'!$A$16:$L$59,12,0)</f>
        <v>80.412345000000002</v>
      </c>
      <c r="H32" s="147">
        <f t="shared" si="0"/>
        <v>34</v>
      </c>
      <c r="I32" s="147" t="str">
        <f>+IF(VLOOKUP(A32,'Estado SCI'!$A$16:$G$59,7,0)="","",VLOOKUP(A32,'Estado SCI'!$A$16:$G$59,7,0))</f>
        <v>Si</v>
      </c>
      <c r="J32" s="148">
        <f t="shared" si="2"/>
        <v>1</v>
      </c>
      <c r="K32" s="149">
        <f t="shared" si="1"/>
        <v>0.7857142857142857</v>
      </c>
    </row>
    <row r="33" spans="1:11" x14ac:dyDescent="0.2">
      <c r="A33" s="147" t="s">
        <v>176</v>
      </c>
      <c r="B33" s="147" t="s">
        <v>86</v>
      </c>
      <c r="C33" s="147" t="s">
        <v>177</v>
      </c>
      <c r="D33" s="147" t="s">
        <v>43</v>
      </c>
      <c r="E33" s="147" t="s">
        <v>92</v>
      </c>
      <c r="F33" s="147" t="str">
        <f>+VLOOKUP(A33,'Estado SCI'!$A$16:$I$59,9,0)</f>
        <v>Oportunidad de mejora</v>
      </c>
      <c r="G33" s="147">
        <f>+VLOOKUP(A33,'Estado SCI'!$A$16:$L$59,12,0)</f>
        <v>70.412345599999995</v>
      </c>
      <c r="H33" s="147">
        <f t="shared" si="0"/>
        <v>28</v>
      </c>
      <c r="I33" s="147" t="str">
        <f>+IF(VLOOKUP(A33,'Estado SCI'!$A$16:$G$59,7,0)="","",VLOOKUP(A33,'Estado SCI'!$A$16:$G$59,7,0))</f>
        <v>En proceso</v>
      </c>
      <c r="J33" s="148">
        <f t="shared" si="2"/>
        <v>0.5</v>
      </c>
      <c r="K33" s="149">
        <f t="shared" si="1"/>
        <v>0.7857142857142857</v>
      </c>
    </row>
    <row r="34" spans="1:11" x14ac:dyDescent="0.2">
      <c r="A34" s="147" t="s">
        <v>178</v>
      </c>
      <c r="B34" s="147" t="s">
        <v>86</v>
      </c>
      <c r="C34" s="147" t="s">
        <v>177</v>
      </c>
      <c r="D34" s="147" t="s">
        <v>45</v>
      </c>
      <c r="E34" s="147" t="s">
        <v>93</v>
      </c>
      <c r="F34" s="147" t="str">
        <f>+VLOOKUP(A34,'Estado SCI'!$A$16:$I$59,9,0)</f>
        <v>Oportunidad de mejora</v>
      </c>
      <c r="G34" s="147">
        <f>+VLOOKUP(A34,'Estado SCI'!$A$16:$L$59,12,0)</f>
        <v>70.412345669999993</v>
      </c>
      <c r="H34" s="147">
        <f t="shared" si="0"/>
        <v>29</v>
      </c>
      <c r="I34" s="147" t="str">
        <f>+IF(VLOOKUP(A34,'Estado SCI'!$A$16:$G$59,7,0)="","",VLOOKUP(A34,'Estado SCI'!$A$16:$G$59,7,0))</f>
        <v>En proceso</v>
      </c>
      <c r="J34" s="148">
        <f t="shared" si="2"/>
        <v>0.5</v>
      </c>
      <c r="K34" s="149">
        <f t="shared" si="1"/>
        <v>0.7857142857142857</v>
      </c>
    </row>
    <row r="35" spans="1:11" x14ac:dyDescent="0.2">
      <c r="A35" s="147" t="s">
        <v>179</v>
      </c>
      <c r="B35" s="147" t="s">
        <v>86</v>
      </c>
      <c r="C35" s="147" t="s">
        <v>177</v>
      </c>
      <c r="D35" s="147" t="s">
        <v>47</v>
      </c>
      <c r="E35" s="147" t="s">
        <v>94</v>
      </c>
      <c r="F35" s="147" t="str">
        <f>+VLOOKUP(A35,'Estado SCI'!$A$16:$I$59,9,0)</f>
        <v>Oportunidad de mejora</v>
      </c>
      <c r="G35" s="147">
        <f>+VLOOKUP(A35,'Estado SCI'!$A$16:$L$59,12,0)</f>
        <v>70.412345677999994</v>
      </c>
      <c r="H35" s="147">
        <f t="shared" si="0"/>
        <v>30</v>
      </c>
      <c r="I35" s="147" t="str">
        <f>+IF(VLOOKUP(A35,'Estado SCI'!$A$16:$G$59,7,0)="","",VLOOKUP(A35,'Estado SCI'!$A$16:$G$59,7,0))</f>
        <v>En proceso</v>
      </c>
      <c r="J35" s="148">
        <f t="shared" si="2"/>
        <v>0.5</v>
      </c>
      <c r="K35" s="149">
        <f t="shared" si="1"/>
        <v>0.7857142857142857</v>
      </c>
    </row>
    <row r="36" spans="1:11" x14ac:dyDescent="0.2">
      <c r="A36" s="147" t="s">
        <v>180</v>
      </c>
      <c r="B36" s="147" t="str">
        <f>+VLOOKUP(A36,'Estado SCI'!$A$16:$C$59,3,0)</f>
        <v>ACTIVIDADES DE MONITOREO</v>
      </c>
      <c r="C36" s="147" t="s">
        <v>177</v>
      </c>
      <c r="D36" s="147" t="s">
        <v>34</v>
      </c>
      <c r="E36" s="147" t="s">
        <v>98</v>
      </c>
      <c r="F36" s="147" t="str">
        <f>+VLOOKUP(A36,'Estado SCI'!$A$16:$I$59,9,0)</f>
        <v>Mantenimiento del control</v>
      </c>
      <c r="G36" s="147">
        <f>+VLOOKUP(A36,'Estado SCI'!$A$16:$L$59,12,0)</f>
        <v>120.851</v>
      </c>
      <c r="H36" s="147">
        <f t="shared" si="0"/>
        <v>37</v>
      </c>
      <c r="I36" s="147" t="str">
        <f>+IF(VLOOKUP(A36,'Estado SCI'!$A$16:$G$59,7,0)="","",VLOOKUP(A36,'Estado SCI'!$A$16:$G$59,7,0))</f>
        <v>Si</v>
      </c>
      <c r="J36" s="148">
        <f t="shared" si="2"/>
        <v>1</v>
      </c>
      <c r="K36" s="149">
        <f t="shared" si="1"/>
        <v>0.9</v>
      </c>
    </row>
    <row r="37" spans="1:11" x14ac:dyDescent="0.2">
      <c r="A37" s="147" t="s">
        <v>181</v>
      </c>
      <c r="B37" s="147" t="s">
        <v>96</v>
      </c>
      <c r="C37" s="147" t="s">
        <v>177</v>
      </c>
      <c r="D37" s="147" t="s">
        <v>41</v>
      </c>
      <c r="E37" s="147" t="s">
        <v>99</v>
      </c>
      <c r="F37" s="147" t="str">
        <f>+VLOOKUP(A37,'Estado SCI'!$A$16:$I$59,9,0)</f>
        <v>Mantenimiento del control</v>
      </c>
      <c r="G37" s="147">
        <f>+VLOOKUP(A37,'Estado SCI'!$A$16:$L$59,12,0)</f>
        <v>120.85120000000001</v>
      </c>
      <c r="H37" s="147">
        <f t="shared" si="0"/>
        <v>38</v>
      </c>
      <c r="I37" s="147" t="str">
        <f>+IF(VLOOKUP(A37,'Estado SCI'!$A$16:$G$59,7,0)="","",VLOOKUP(A37,'Estado SCI'!$A$16:$G$59,7,0))</f>
        <v>Si</v>
      </c>
      <c r="J37" s="148">
        <f t="shared" si="2"/>
        <v>1</v>
      </c>
      <c r="K37" s="149">
        <f t="shared" si="1"/>
        <v>0.9</v>
      </c>
    </row>
    <row r="38" spans="1:11" x14ac:dyDescent="0.2">
      <c r="A38" s="147" t="s">
        <v>182</v>
      </c>
      <c r="B38" s="147" t="s">
        <v>96</v>
      </c>
      <c r="C38" s="147" t="s">
        <v>67</v>
      </c>
      <c r="D38" s="147" t="s">
        <v>45</v>
      </c>
      <c r="E38" s="147" t="s">
        <v>100</v>
      </c>
      <c r="F38" s="147" t="str">
        <f>+VLOOKUP(A38,'Estado SCI'!$A$16:$I$59,9,0)</f>
        <v>Mantenimiento del control</v>
      </c>
      <c r="G38" s="147">
        <f>+VLOOKUP(A38,'Estado SCI'!$A$16:$L$59,12,0)</f>
        <v>120.85123</v>
      </c>
      <c r="H38" s="147">
        <f t="shared" si="0"/>
        <v>39</v>
      </c>
      <c r="I38" s="147" t="str">
        <f>+IF(VLOOKUP(A38,'Estado SCI'!$A$16:$G$59,7,0)="","",VLOOKUP(A38,'Estado SCI'!$A$16:$G$59,7,0))</f>
        <v>Si</v>
      </c>
      <c r="J38" s="148">
        <f t="shared" si="2"/>
        <v>1</v>
      </c>
      <c r="K38" s="149">
        <f t="shared" si="1"/>
        <v>0.9</v>
      </c>
    </row>
    <row r="39" spans="1:11" x14ac:dyDescent="0.2">
      <c r="A39" s="147" t="s">
        <v>183</v>
      </c>
      <c r="B39" s="147" t="s">
        <v>96</v>
      </c>
      <c r="C39" s="147" t="s">
        <v>67</v>
      </c>
      <c r="D39" s="147" t="s">
        <v>47</v>
      </c>
      <c r="E39" s="147" t="s">
        <v>101</v>
      </c>
      <c r="F39" s="147" t="str">
        <f>+VLOOKUP(A39,'Estado SCI'!$A$16:$I$59,9,0)</f>
        <v>Mantenimiento del control</v>
      </c>
      <c r="G39" s="147">
        <f>+VLOOKUP(A39,'Estado SCI'!$A$16:$L$59,12,0)</f>
        <v>120.85123400000001</v>
      </c>
      <c r="H39" s="147">
        <f t="shared" si="0"/>
        <v>40</v>
      </c>
      <c r="I39" s="147" t="str">
        <f>+IF(VLOOKUP(A39,'Estado SCI'!$A$16:$G$59,7,0)="","",VLOOKUP(A39,'Estado SCI'!$A$16:$G$59,7,0))</f>
        <v>Si</v>
      </c>
      <c r="J39" s="148">
        <f t="shared" si="2"/>
        <v>1</v>
      </c>
      <c r="K39" s="149">
        <f t="shared" si="1"/>
        <v>0.9</v>
      </c>
    </row>
    <row r="40" spans="1:11" x14ac:dyDescent="0.2">
      <c r="A40" s="147" t="s">
        <v>184</v>
      </c>
      <c r="B40" s="147" t="s">
        <v>96</v>
      </c>
      <c r="C40" s="147" t="s">
        <v>67</v>
      </c>
      <c r="D40" s="147" t="s">
        <v>49</v>
      </c>
      <c r="E40" s="147" t="s">
        <v>104</v>
      </c>
      <c r="F40" s="147" t="str">
        <f>+VLOOKUP(A40,'Estado SCI'!$A$16:$I$59,9,0)</f>
        <v>Mantenimiento del control</v>
      </c>
      <c r="G40" s="147">
        <f>+VLOOKUP(A40,'Estado SCI'!$A$16:$L$59,12,0)</f>
        <v>120.8512345</v>
      </c>
      <c r="H40" s="147">
        <f t="shared" si="0"/>
        <v>41</v>
      </c>
      <c r="I40" s="147" t="str">
        <f>+IF(VLOOKUP(A40,'Estado SCI'!$A$16:$G$59,7,0)="","",VLOOKUP(A40,'Estado SCI'!$A$16:$G$59,7,0))</f>
        <v>Si</v>
      </c>
      <c r="J40" s="148">
        <f t="shared" si="2"/>
        <v>1</v>
      </c>
      <c r="K40" s="149">
        <f t="shared" si="1"/>
        <v>0.9</v>
      </c>
    </row>
    <row r="41" spans="1:11" x14ac:dyDescent="0.2">
      <c r="A41" s="147" t="s">
        <v>185</v>
      </c>
      <c r="B41" s="147" t="s">
        <v>96</v>
      </c>
      <c r="C41" s="147" t="s">
        <v>67</v>
      </c>
      <c r="D41" s="147" t="s">
        <v>34</v>
      </c>
      <c r="E41" s="147" t="s">
        <v>107</v>
      </c>
      <c r="F41" s="147" t="str">
        <f>+VLOOKUP(A41,'Estado SCI'!$A$16:$I$59,9,0)</f>
        <v>Mantenimiento del control</v>
      </c>
      <c r="G41" s="147">
        <f>+VLOOKUP(A41,'Estado SCI'!$A$16:$L$59,12,0)</f>
        <v>120.85123455999999</v>
      </c>
      <c r="H41" s="147">
        <f t="shared" si="0"/>
        <v>42</v>
      </c>
      <c r="I41" s="147" t="str">
        <f>+IF(VLOOKUP(A41,'Estado SCI'!$A$16:$G$59,7,0)="","",VLOOKUP(A41,'Estado SCI'!$A$16:$G$59,7,0))</f>
        <v>Si</v>
      </c>
      <c r="J41" s="148">
        <f t="shared" si="2"/>
        <v>1</v>
      </c>
      <c r="K41" s="149">
        <f t="shared" si="1"/>
        <v>0.9</v>
      </c>
    </row>
    <row r="42" spans="1:11" x14ac:dyDescent="0.2">
      <c r="A42" s="147" t="s">
        <v>186</v>
      </c>
      <c r="B42" s="147" t="s">
        <v>96</v>
      </c>
      <c r="C42" s="147" t="s">
        <v>72</v>
      </c>
      <c r="D42" s="147" t="s">
        <v>36</v>
      </c>
      <c r="E42" s="147" t="s">
        <v>108</v>
      </c>
      <c r="F42" s="147" t="str">
        <f>+VLOOKUP(A42,'Estado SCI'!$A$16:$I$59,9,0)</f>
        <v>Oportunidad de mejora</v>
      </c>
      <c r="G42" s="147">
        <f>+VLOOKUP(A42,'Estado SCI'!$A$16:$L$59,12,0)</f>
        <v>100.85123456700001</v>
      </c>
      <c r="H42" s="147">
        <f t="shared" si="0"/>
        <v>35</v>
      </c>
      <c r="I42" s="147" t="str">
        <f>+IF(VLOOKUP(A42,'Estado SCI'!$A$16:$G$59,7,0)="","",VLOOKUP(A42,'Estado SCI'!$A$16:$G$59,7,0))</f>
        <v>En proceso</v>
      </c>
      <c r="J42" s="148">
        <f t="shared" si="2"/>
        <v>0.5</v>
      </c>
      <c r="K42" s="149">
        <f t="shared" si="1"/>
        <v>0.9</v>
      </c>
    </row>
    <row r="43" spans="1:11" x14ac:dyDescent="0.2">
      <c r="A43" s="147" t="s">
        <v>187</v>
      </c>
      <c r="B43" s="147" t="s">
        <v>96</v>
      </c>
      <c r="C43" s="147" t="s">
        <v>72</v>
      </c>
      <c r="D43" s="147" t="s">
        <v>39</v>
      </c>
      <c r="E43" s="147" t="s">
        <v>109</v>
      </c>
      <c r="F43" s="147" t="str">
        <f>+VLOOKUP(A43,'Estado SCI'!$A$16:$I$59,9,0)</f>
        <v>Mantenimiento del control</v>
      </c>
      <c r="G43" s="147">
        <f>+VLOOKUP(A43,'Estado SCI'!$A$16:$L$59,12,0)</f>
        <v>120.85123456780001</v>
      </c>
      <c r="H43" s="147">
        <f t="shared" si="0"/>
        <v>43</v>
      </c>
      <c r="I43" s="147" t="str">
        <f>+IF(VLOOKUP(A43,'Estado SCI'!$A$16:$G$59,7,0)="","",VLOOKUP(A43,'Estado SCI'!$A$16:$G$59,7,0))</f>
        <v>Si</v>
      </c>
      <c r="J43" s="148">
        <f t="shared" si="2"/>
        <v>1</v>
      </c>
      <c r="K43" s="149">
        <f t="shared" si="1"/>
        <v>0.9</v>
      </c>
    </row>
    <row r="44" spans="1:11" x14ac:dyDescent="0.2">
      <c r="A44" s="147" t="s">
        <v>188</v>
      </c>
      <c r="B44" s="147" t="s">
        <v>96</v>
      </c>
      <c r="C44" s="147" t="s">
        <v>72</v>
      </c>
      <c r="D44" s="147" t="s">
        <v>41</v>
      </c>
      <c r="E44" s="147" t="s">
        <v>110</v>
      </c>
      <c r="F44" s="147" t="str">
        <f>+VLOOKUP(A44,'Estado SCI'!$A$16:$I$59,9,0)</f>
        <v>Oportunidad de mejora</v>
      </c>
      <c r="G44" s="147">
        <f>+VLOOKUP(A44,'Estado SCI'!$A$16:$L$59,12,0)</f>
        <v>100.85123456789</v>
      </c>
      <c r="H44" s="147">
        <f t="shared" si="0"/>
        <v>36</v>
      </c>
      <c r="I44" s="147" t="str">
        <f>+IF(VLOOKUP(A44,'Estado SCI'!$A$16:$G$59,7,0)="","",VLOOKUP(A44,'Estado SCI'!$A$16:$G$59,7,0))</f>
        <v>En proceso</v>
      </c>
      <c r="J44" s="148">
        <f t="shared" si="2"/>
        <v>0.5</v>
      </c>
      <c r="K44" s="149">
        <f t="shared" si="1"/>
        <v>0.9</v>
      </c>
    </row>
    <row r="45" spans="1:11" x14ac:dyDescent="0.2">
      <c r="A45" s="147" t="s">
        <v>189</v>
      </c>
      <c r="B45" s="147" t="s">
        <v>96</v>
      </c>
      <c r="C45" s="147" t="s">
        <v>72</v>
      </c>
      <c r="D45" s="147" t="s">
        <v>43</v>
      </c>
      <c r="E45" s="147" t="s">
        <v>111</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0.9</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Luiza Camila Torres Pacheco</cp:lastModifiedBy>
  <cp:revision/>
  <dcterms:created xsi:type="dcterms:W3CDTF">2020-04-28T13:58:09Z</dcterms:created>
  <dcterms:modified xsi:type="dcterms:W3CDTF">2025-12-30T18:01:50Z</dcterms:modified>
  <cp:category/>
  <cp:contentStatus/>
</cp:coreProperties>
</file>